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psfanm-my.sharepoint.com/personal/mschimmel_nmpsfa_org/Documents/Desktop/SOFP/"/>
    </mc:Choice>
  </mc:AlternateContent>
  <xr:revisionPtr revIDLastSave="90" documentId="11_ADB3D47FE044538A9F81093886E65F4D203278E3" xr6:coauthVersionLast="47" xr6:coauthVersionMax="47" xr10:uidLastSave="{9F9E960F-B94E-4828-8BBC-0CCCE0B909F0}"/>
  <workbookProtection workbookAlgorithmName="SHA-512" workbookHashValue="Aq2A9pkL4Xoyfsx6l+CLfpA3SL/M1vVRNhPxGFwPpyWY6dF/e3LgMJyOIEaSSVVMb5X/fcfCk2PLHt9pgCAcmQ==" workbookSaltValue="3obytJt8qO7YtpgycbGUlA==" workbookSpinCount="100000" lockStructure="1"/>
  <bookViews>
    <workbookView xWindow="-120" yWindow="-120" windowWidth="29040" windowHeight="15720" firstSheet="3" activeTab="6" xr2:uid="{00000000-000D-0000-FFFF-FFFF00000000}"/>
  </bookViews>
  <sheets>
    <sheet name="Drop Downs" sheetId="6" state="hidden" r:id="rId1"/>
    <sheet name="Local Match Reductions" sheetId="13" state="hidden" r:id="rId2"/>
    <sheet name="NMSA Waiver Criteria" sheetId="12" state="hidden" r:id="rId3"/>
    <sheet name="1. DistrictInfo" sheetId="11" r:id="rId4"/>
    <sheet name="2. SourcesDetail" sheetId="1" r:id="rId5"/>
    <sheet name="3. UsesDetail" sheetId="9" r:id="rId6"/>
    <sheet name="4. Bonding" sheetId="7" r:id="rId7"/>
    <sheet name="5. Summary" sheetId="10" r:id="rId8"/>
    <sheet name="Rollup" sheetId="8" state="hidden" r:id="rId9"/>
  </sheets>
  <definedNames>
    <definedName name="_xlnm.Print_Area" localSheetId="3">'1. DistrictInfo'!$A$1:$D$24</definedName>
    <definedName name="_xlnm.Print_Area" localSheetId="4">'2. SourcesDetail'!$A$1:$K$43</definedName>
    <definedName name="_xlnm.Print_Area" localSheetId="5">'3. UsesDetail'!$A$1:$K$43</definedName>
    <definedName name="_xlnm.Print_Area" localSheetId="6">'4. Bonding'!$A$1:$L$38</definedName>
    <definedName name="_xlnm.Print_Area" localSheetId="7">'5. Summary'!$A$1:$C$38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 l="1"/>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C2" i="8"/>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A3" i="10" l="1"/>
  <c r="A35" i="10"/>
  <c r="A32" i="10"/>
  <c r="H28" i="7" l="1"/>
  <c r="H29" i="7"/>
  <c r="H30" i="7"/>
  <c r="H31" i="7"/>
  <c r="H32" i="7"/>
  <c r="H33" i="7"/>
  <c r="H34" i="7"/>
  <c r="H35" i="7"/>
  <c r="H36" i="7"/>
  <c r="H37" i="7"/>
  <c r="F38" i="7"/>
  <c r="G38" i="7"/>
  <c r="E38" i="7"/>
  <c r="H27" i="7"/>
  <c r="H38" i="7" l="1"/>
  <c r="F24" i="9"/>
  <c r="L24" i="9"/>
  <c r="F28" i="9"/>
  <c r="L28" i="9"/>
  <c r="F21" i="9"/>
  <c r="F22" i="9"/>
  <c r="F23" i="9"/>
  <c r="F25" i="9"/>
  <c r="F26" i="9"/>
  <c r="F27" i="9"/>
  <c r="F29" i="9"/>
  <c r="F30" i="9"/>
  <c r="F31" i="9"/>
  <c r="F32" i="9"/>
  <c r="F33" i="9"/>
  <c r="L21" i="9"/>
  <c r="L22" i="9"/>
  <c r="L23" i="9"/>
  <c r="L25" i="9"/>
  <c r="L26" i="9"/>
  <c r="L27" i="9"/>
  <c r="L29" i="9"/>
  <c r="L30" i="9"/>
  <c r="L31" i="9"/>
  <c r="L32" i="9"/>
  <c r="L33" i="9"/>
  <c r="F22" i="1"/>
  <c r="F23" i="1"/>
  <c r="L22" i="1"/>
  <c r="L23" i="1"/>
  <c r="F13" i="1"/>
  <c r="F14" i="1"/>
  <c r="F15" i="1"/>
  <c r="F16" i="1"/>
  <c r="F17" i="1"/>
  <c r="F18" i="1"/>
  <c r="F19" i="1"/>
  <c r="F20" i="1"/>
  <c r="F21" i="1"/>
  <c r="F24" i="1"/>
  <c r="F25" i="1"/>
  <c r="F26" i="1"/>
  <c r="F27" i="1"/>
  <c r="F28" i="1"/>
  <c r="F29" i="1"/>
  <c r="L9" i="1"/>
  <c r="L10" i="1"/>
  <c r="L11" i="1"/>
  <c r="L12" i="1"/>
  <c r="L13" i="1"/>
  <c r="L14" i="1"/>
  <c r="L15" i="1"/>
  <c r="L16" i="1"/>
  <c r="L17" i="1"/>
  <c r="L18" i="1"/>
  <c r="L19" i="1"/>
  <c r="L20" i="1"/>
  <c r="L21" i="1"/>
  <c r="L24" i="1"/>
  <c r="L25" i="1"/>
  <c r="L26" i="1"/>
  <c r="L27" i="1"/>
  <c r="L28" i="1"/>
  <c r="L29" i="1"/>
  <c r="B7" i="9"/>
  <c r="B7" i="1"/>
  <c r="A38" i="10" l="1"/>
  <c r="A29" i="10" l="1"/>
  <c r="L13" i="7" l="1"/>
  <c r="C22" i="11" l="1"/>
  <c r="C23" i="11"/>
  <c r="D23" i="11" s="1"/>
  <c r="C19" i="11"/>
  <c r="D19" i="11" s="1"/>
  <c r="C18" i="11"/>
  <c r="D22" i="11" l="1"/>
  <c r="B21" i="10"/>
  <c r="H5" i="13"/>
  <c r="B9" i="7" l="1"/>
  <c r="B10" i="7"/>
  <c r="B11" i="7"/>
  <c r="B12" i="7"/>
  <c r="B8" i="7"/>
  <c r="A1" i="10" l="1"/>
  <c r="A1" i="7"/>
  <c r="A1" i="9"/>
  <c r="A1" i="1"/>
  <c r="E13" i="7" l="1"/>
  <c r="F13" i="7"/>
  <c r="G13" i="7"/>
  <c r="H13" i="7"/>
  <c r="C7" i="10" s="1"/>
  <c r="I13" i="7"/>
  <c r="J13" i="7"/>
  <c r="K13" i="7"/>
  <c r="D13" i="7"/>
  <c r="C13" i="7"/>
  <c r="C14" i="10" l="1"/>
  <c r="D42" i="9"/>
  <c r="D42" i="1" s="1"/>
  <c r="E42" i="9"/>
  <c r="E42" i="1" s="1"/>
  <c r="G42" i="9"/>
  <c r="G42" i="1" s="1"/>
  <c r="H42" i="9"/>
  <c r="H42" i="1" s="1"/>
  <c r="I42" i="9"/>
  <c r="I42" i="1" s="1"/>
  <c r="J42" i="9"/>
  <c r="J42" i="1" s="1"/>
  <c r="K42" i="9"/>
  <c r="K42" i="1" s="1"/>
  <c r="C42" i="9"/>
  <c r="C42" i="1" s="1"/>
  <c r="D40" i="9"/>
  <c r="E40" i="9"/>
  <c r="F40" i="9"/>
  <c r="G40" i="9"/>
  <c r="H40" i="9"/>
  <c r="I40" i="9"/>
  <c r="J40" i="9"/>
  <c r="K40" i="9"/>
  <c r="C40" i="9"/>
  <c r="D40" i="1"/>
  <c r="E40" i="1"/>
  <c r="F40" i="1"/>
  <c r="G40" i="1"/>
  <c r="H40" i="1"/>
  <c r="I40" i="1"/>
  <c r="J40" i="1"/>
  <c r="K40" i="1"/>
  <c r="C40" i="1"/>
  <c r="D41" i="1"/>
  <c r="D41" i="9" s="1"/>
  <c r="E41" i="1"/>
  <c r="E41" i="9" s="1"/>
  <c r="G41" i="1"/>
  <c r="G41" i="9" s="1"/>
  <c r="H41" i="1"/>
  <c r="H41" i="9" s="1"/>
  <c r="I41" i="1"/>
  <c r="I41" i="9" s="1"/>
  <c r="J41" i="1"/>
  <c r="J41" i="9" s="1"/>
  <c r="K41" i="1"/>
  <c r="K41" i="9" s="1"/>
  <c r="C41" i="1"/>
  <c r="C41" i="9" s="1"/>
  <c r="G43" i="1" l="1"/>
  <c r="E43" i="1"/>
  <c r="D43" i="1"/>
  <c r="K43" i="1"/>
  <c r="J43" i="1"/>
  <c r="I43" i="1"/>
  <c r="H43" i="1"/>
  <c r="C43" i="1"/>
  <c r="H43" i="9"/>
  <c r="G43" i="9"/>
  <c r="D43" i="9"/>
  <c r="E43" i="9"/>
  <c r="C43" i="9"/>
  <c r="K43" i="9"/>
  <c r="J43" i="9"/>
  <c r="I43" i="9"/>
  <c r="I18" i="7" l="1"/>
  <c r="J18" i="7" s="1"/>
  <c r="H19" i="7"/>
  <c r="H22" i="7" s="1"/>
  <c r="B18" i="11" l="1"/>
  <c r="D18" i="11" s="1"/>
  <c r="I19" i="7"/>
  <c r="I21" i="7" s="1"/>
  <c r="H21" i="7"/>
  <c r="J19" i="7"/>
  <c r="K18" i="7"/>
  <c r="A21" i="10" l="1"/>
  <c r="I22" i="7"/>
  <c r="K19" i="7"/>
  <c r="L18" i="7"/>
  <c r="J21" i="7"/>
  <c r="J22" i="7"/>
  <c r="J3" i="8"/>
  <c r="J4" i="8"/>
  <c r="J5" i="8"/>
  <c r="J8" i="8"/>
  <c r="J9" i="8"/>
  <c r="J10" i="8"/>
  <c r="J11" i="8"/>
  <c r="J12" i="8"/>
  <c r="J13" i="8"/>
  <c r="J14" i="8"/>
  <c r="J15" i="8"/>
  <c r="J16" i="8"/>
  <c r="J18" i="8"/>
  <c r="J19" i="8"/>
  <c r="J20" i="8"/>
  <c r="J21" i="8"/>
  <c r="J23" i="8"/>
  <c r="J26" i="8"/>
  <c r="J27" i="8"/>
  <c r="J28" i="8"/>
  <c r="J29" i="8"/>
  <c r="J30" i="8"/>
  <c r="J31" i="8"/>
  <c r="J32" i="8"/>
  <c r="J33" i="8"/>
  <c r="J34" i="8"/>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2" i="8"/>
  <c r="D3" i="8"/>
  <c r="D4" i="8"/>
  <c r="D5" i="8"/>
  <c r="D6" i="8"/>
  <c r="D7" i="8"/>
  <c r="D8" i="8"/>
  <c r="D9" i="8"/>
  <c r="D10" i="8"/>
  <c r="D11" i="8"/>
  <c r="D12" i="8"/>
  <c r="D13" i="8"/>
  <c r="D14" i="8"/>
  <c r="D15" i="8"/>
  <c r="D16" i="8"/>
  <c r="D18" i="8"/>
  <c r="D19" i="8"/>
  <c r="D20" i="8"/>
  <c r="D21" i="8"/>
  <c r="D23" i="8"/>
  <c r="D26" i="8"/>
  <c r="D27" i="8"/>
  <c r="D28" i="8"/>
  <c r="D29" i="8"/>
  <c r="D30" i="8"/>
  <c r="D31" i="8"/>
  <c r="D32" i="8"/>
  <c r="D33" i="8"/>
  <c r="D34" i="8"/>
  <c r="L38" i="9"/>
  <c r="F38" i="9"/>
  <c r="L37" i="9"/>
  <c r="F37" i="9"/>
  <c r="L36" i="9"/>
  <c r="F36" i="9"/>
  <c r="L35" i="9"/>
  <c r="F35" i="9"/>
  <c r="L34" i="9"/>
  <c r="F34" i="9"/>
  <c r="J25" i="8"/>
  <c r="D25" i="8"/>
  <c r="D24" i="8"/>
  <c r="J17" i="8"/>
  <c r="D17" i="8"/>
  <c r="J2"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J24" i="8" l="1"/>
  <c r="J7" i="8"/>
  <c r="J6" i="8"/>
  <c r="D22" i="8"/>
  <c r="J22" i="8"/>
  <c r="D2" i="8"/>
  <c r="F42" i="9"/>
  <c r="F42" i="1" s="1"/>
  <c r="L19" i="7"/>
  <c r="K21" i="7"/>
  <c r="K22" i="7"/>
  <c r="G36" i="8"/>
  <c r="C9" i="10" s="1"/>
  <c r="I4" i="8"/>
  <c r="K4" i="8" s="1"/>
  <c r="I5" i="8"/>
  <c r="K5" i="8" s="1"/>
  <c r="I7" i="8"/>
  <c r="I8" i="8"/>
  <c r="K8" i="8" s="1"/>
  <c r="I9" i="8"/>
  <c r="K9" i="8" s="1"/>
  <c r="I10" i="8"/>
  <c r="K10" i="8" s="1"/>
  <c r="I11" i="8"/>
  <c r="K11" i="8" s="1"/>
  <c r="I12" i="8"/>
  <c r="K12" i="8" s="1"/>
  <c r="I13" i="8"/>
  <c r="K13" i="8" s="1"/>
  <c r="I14" i="8"/>
  <c r="K14" i="8" s="1"/>
  <c r="I15" i="8"/>
  <c r="K15" i="8" s="1"/>
  <c r="I16" i="8"/>
  <c r="K16" i="8" s="1"/>
  <c r="I18" i="8"/>
  <c r="K18" i="8" s="1"/>
  <c r="I19" i="8"/>
  <c r="K19" i="8" s="1"/>
  <c r="I20" i="8"/>
  <c r="K20" i="8" s="1"/>
  <c r="I21" i="8"/>
  <c r="K21" i="8" s="1"/>
  <c r="I22" i="8"/>
  <c r="I23" i="8"/>
  <c r="K23" i="8" s="1"/>
  <c r="I24" i="8"/>
  <c r="I25" i="8"/>
  <c r="K25" i="8" s="1"/>
  <c r="I26" i="8"/>
  <c r="K26" i="8" s="1"/>
  <c r="I27" i="8"/>
  <c r="K27" i="8" s="1"/>
  <c r="I31" i="8"/>
  <c r="K31" i="8" s="1"/>
  <c r="I32" i="8"/>
  <c r="K32" i="8" s="1"/>
  <c r="I33" i="8"/>
  <c r="K33" i="8" s="1"/>
  <c r="I34" i="8"/>
  <c r="K34" i="8" s="1"/>
  <c r="F2" i="8"/>
  <c r="C4" i="8"/>
  <c r="C5" i="8"/>
  <c r="C6" i="8"/>
  <c r="C7" i="8"/>
  <c r="C8" i="8"/>
  <c r="C9" i="8"/>
  <c r="C10" i="8"/>
  <c r="C11" i="8"/>
  <c r="C12" i="8"/>
  <c r="C13" i="8"/>
  <c r="C14" i="8"/>
  <c r="C15" i="8"/>
  <c r="C16" i="8"/>
  <c r="C17" i="8"/>
  <c r="C18" i="8"/>
  <c r="C19" i="8"/>
  <c r="C20" i="8"/>
  <c r="C21" i="8"/>
  <c r="C22" i="8"/>
  <c r="C23" i="8"/>
  <c r="C24" i="8"/>
  <c r="C25" i="8"/>
  <c r="C26" i="8"/>
  <c r="C27" i="8"/>
  <c r="C29" i="8"/>
  <c r="C30" i="8"/>
  <c r="C31" i="8"/>
  <c r="C32" i="8"/>
  <c r="C33" i="8"/>
  <c r="C34" i="8"/>
  <c r="H3" i="8"/>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L7" i="1"/>
  <c r="L8" i="1"/>
  <c r="I17" i="8" s="1"/>
  <c r="K17" i="8" s="1"/>
  <c r="L30" i="1"/>
  <c r="L31" i="1"/>
  <c r="L32" i="1"/>
  <c r="L33" i="1"/>
  <c r="L34" i="1"/>
  <c r="L35" i="1"/>
  <c r="L36" i="1"/>
  <c r="L37" i="1"/>
  <c r="L38" i="1"/>
  <c r="F30" i="1"/>
  <c r="F31" i="1"/>
  <c r="F32" i="1"/>
  <c r="F33" i="1"/>
  <c r="F34" i="1"/>
  <c r="F35" i="1"/>
  <c r="F36" i="1"/>
  <c r="F37" i="1"/>
  <c r="F38" i="1"/>
  <c r="I28" i="8" l="1"/>
  <c r="K28" i="8" s="1"/>
  <c r="I30" i="8"/>
  <c r="K30" i="8" s="1"/>
  <c r="I29" i="8"/>
  <c r="K29" i="8" s="1"/>
  <c r="K24" i="8"/>
  <c r="J36" i="8"/>
  <c r="C16" i="10" s="1"/>
  <c r="K7" i="8"/>
  <c r="I6" i="8"/>
  <c r="K6" i="8" s="1"/>
  <c r="D36" i="8"/>
  <c r="K22" i="8"/>
  <c r="I3" i="8"/>
  <c r="K3" i="8" s="1"/>
  <c r="C3" i="8"/>
  <c r="C28" i="8"/>
  <c r="F41" i="1"/>
  <c r="L21" i="7"/>
  <c r="L22" i="7"/>
  <c r="H2" i="8"/>
  <c r="H36" i="8" s="1"/>
  <c r="F36" i="8"/>
  <c r="C8" i="10" s="1"/>
  <c r="I2" i="8"/>
  <c r="C36" i="8" l="1"/>
  <c r="C10" i="10" s="1"/>
  <c r="F43" i="1"/>
  <c r="F41" i="9"/>
  <c r="F43" i="9" s="1"/>
  <c r="K2" i="8"/>
  <c r="K36" i="8" s="1"/>
  <c r="I36" i="8"/>
  <c r="C15" i="10" s="1"/>
  <c r="E3" i="8"/>
  <c r="E21" i="8"/>
  <c r="E9" i="8"/>
  <c r="E33" i="8"/>
  <c r="E32" i="8"/>
  <c r="E20" i="8"/>
  <c r="E8" i="8"/>
  <c r="E15" i="8"/>
  <c r="E34" i="8"/>
  <c r="E22" i="8"/>
  <c r="E10" i="8"/>
  <c r="E28" i="8"/>
  <c r="E16" i="8"/>
  <c r="E4" i="8"/>
  <c r="E26" i="8"/>
  <c r="E14" i="8"/>
  <c r="E25" i="8"/>
  <c r="E13" i="8"/>
  <c r="E29" i="8"/>
  <c r="E17" i="8"/>
  <c r="E27" i="8"/>
  <c r="E24" i="8"/>
  <c r="E12" i="8"/>
  <c r="E23" i="8"/>
  <c r="E11" i="8"/>
  <c r="E31" i="8"/>
  <c r="E19" i="8"/>
  <c r="E7" i="8"/>
  <c r="E30" i="8"/>
  <c r="E18" i="8"/>
  <c r="E6" i="8"/>
  <c r="E5" i="8"/>
  <c r="C17" i="10" l="1"/>
  <c r="E2" i="8"/>
  <c r="E36" i="8" s="1"/>
</calcChain>
</file>

<file path=xl/sharedStrings.xml><?xml version="1.0" encoding="utf-8"?>
<sst xmlns="http://schemas.openxmlformats.org/spreadsheetml/2006/main" count="439" uniqueCount="236">
  <si>
    <t>FUND</t>
  </si>
  <si>
    <t>Operational</t>
  </si>
  <si>
    <t>FY23</t>
  </si>
  <si>
    <t>FY24</t>
  </si>
  <si>
    <t>FY25</t>
  </si>
  <si>
    <t>FY26</t>
  </si>
  <si>
    <t>FY27</t>
  </si>
  <si>
    <t>FY28</t>
  </si>
  <si>
    <t>Actual</t>
  </si>
  <si>
    <t>Estimate</t>
  </si>
  <si>
    <t>Fund Description</t>
  </si>
  <si>
    <t>Fund</t>
  </si>
  <si>
    <t>Description</t>
  </si>
  <si>
    <t>Teacherage</t>
  </si>
  <si>
    <t>Transportation</t>
  </si>
  <si>
    <t>Instructional Materials</t>
  </si>
  <si>
    <t>Impact Aid Operational</t>
  </si>
  <si>
    <t>Local Revenue Operational</t>
  </si>
  <si>
    <t>Food Service</t>
  </si>
  <si>
    <t>Athletics</t>
  </si>
  <si>
    <t>Activity</t>
  </si>
  <si>
    <t>Federal Flow-Through</t>
  </si>
  <si>
    <t>Federal Direct Grants</t>
  </si>
  <si>
    <t>Local Grants</t>
  </si>
  <si>
    <t>State Flow-Through Grants</t>
  </si>
  <si>
    <t>State Direct Grants</t>
  </si>
  <si>
    <t>Combined Local/State Grants</t>
  </si>
  <si>
    <t>Bond Building</t>
  </si>
  <si>
    <t>Public School Capital Outlay</t>
  </si>
  <si>
    <t>Special Capital Outlay – Local</t>
  </si>
  <si>
    <t xml:space="preserve">Special Capital Outlay – State </t>
  </si>
  <si>
    <t>Special Capital Outlay – Federal</t>
  </si>
  <si>
    <t>Capital Improvements – HB33</t>
  </si>
  <si>
    <t>Capital Improvement SB9</t>
  </si>
  <si>
    <t>Capital Improvement SB9 – Local</t>
  </si>
  <si>
    <t>SB-9 State Match</t>
  </si>
  <si>
    <t>Energy Efficiency Act</t>
  </si>
  <si>
    <t>Educational Technology</t>
  </si>
  <si>
    <t>Public School Capital Outlay - 20%</t>
  </si>
  <si>
    <t>Debt Service</t>
  </si>
  <si>
    <t>Teacherage Bond Debt Services</t>
  </si>
  <si>
    <t>EE Bond Debt Services</t>
  </si>
  <si>
    <t>Deferred Sick Leave</t>
  </si>
  <si>
    <t>Ed-Tech Debt Service</t>
  </si>
  <si>
    <t>Enterprise Fund</t>
  </si>
  <si>
    <t>Available Capacity</t>
  </si>
  <si>
    <t>Sum of Actuals</t>
  </si>
  <si>
    <t>Total Actuals</t>
  </si>
  <si>
    <t>Total Estimate</t>
  </si>
  <si>
    <t>Sum of Estimates</t>
  </si>
  <si>
    <t>Historical - Actuals
Sources Detail</t>
  </si>
  <si>
    <t>Historical - Actuals
Uses Detail</t>
  </si>
  <si>
    <t>Historical - Actuals
Remaining</t>
  </si>
  <si>
    <t>Current
Sources Detail</t>
  </si>
  <si>
    <t>Current
Uses Detail</t>
  </si>
  <si>
    <t>Current
Remaining</t>
  </si>
  <si>
    <t>Projected
Uses Detail</t>
  </si>
  <si>
    <t>Projected
Remaining</t>
  </si>
  <si>
    <t>Projected 
Sources Detail</t>
  </si>
  <si>
    <t>Uses</t>
  </si>
  <si>
    <t>Signatures</t>
  </si>
  <si>
    <t>STATEMENT OF FINANCIAL POSITION SUMMARY</t>
  </si>
  <si>
    <t>Bonded Sources</t>
  </si>
  <si>
    <t>Non-Bonded Sources</t>
  </si>
  <si>
    <t>Superintendent</t>
  </si>
  <si>
    <t>District Financial Officer</t>
  </si>
  <si>
    <t>Est. Growth Rate 
(%)</t>
  </si>
  <si>
    <t>Available Bonding Capacity ($):</t>
  </si>
  <si>
    <t>Date</t>
  </si>
  <si>
    <t>OBMS Fund Codes/Description</t>
  </si>
  <si>
    <t>District</t>
  </si>
  <si>
    <r>
      <t xml:space="preserve">Local Match
</t>
    </r>
    <r>
      <rPr>
        <i/>
        <sz val="11"/>
        <color theme="1"/>
        <rFont val="Calibri"/>
        <family val="2"/>
        <scheme val="minor"/>
      </rPr>
      <t>(as of 7/1/23)</t>
    </r>
  </si>
  <si>
    <r>
      <t xml:space="preserve">State Match
</t>
    </r>
    <r>
      <rPr>
        <i/>
        <sz val="11"/>
        <color theme="1"/>
        <rFont val="Calibri"/>
        <family val="2"/>
        <scheme val="minor"/>
      </rPr>
      <t>(as of 7/1/23)</t>
    </r>
  </si>
  <si>
    <t>ALAMOGORDO PUBLIC SCHOOLS</t>
  </si>
  <si>
    <t>ALBUQUERQUE PUBLIC SCHOOLS</t>
  </si>
  <si>
    <t>ANIMAS PUBLIC SCHOOLS</t>
  </si>
  <si>
    <t>ARTESIA PUBLIC SCHOOLS</t>
  </si>
  <si>
    <t>BELEN CONSOLIDATED SCHOOLS</t>
  </si>
  <si>
    <t>BERNALILLO PUBLIC SCHOOLS</t>
  </si>
  <si>
    <t>CAPITAN MUNICIPAL SCHOOLS</t>
  </si>
  <si>
    <t>CARLSBAD MUNICIPAL SCHOOLS</t>
  </si>
  <si>
    <t>CIMARRON MUNICIPAL SCHOOLS</t>
  </si>
  <si>
    <t>CLAYTON MUNICIPAL SCHOOLS</t>
  </si>
  <si>
    <t>CLOUDCROFT MUNICIPAL SCHOOLS</t>
  </si>
  <si>
    <t>CLOVIS MUNICIPAL SCHOOLS</t>
  </si>
  <si>
    <t>DEMING PUBLIC SCHOOLS</t>
  </si>
  <si>
    <t>DES MOINES MUNICIPAL SCHOOLS</t>
  </si>
  <si>
    <t>DEXTER CONSOLIDATED SCHOOLS</t>
  </si>
  <si>
    <t>DORA CONSOLIDATED SCHOOLS</t>
  </si>
  <si>
    <t>DULCE INDEPENDENT SCHOOLS</t>
  </si>
  <si>
    <t>ELIDA MUNICIPAL SCHOOLS</t>
  </si>
  <si>
    <t>ESPANOLA PUBLIC SCHOOLS</t>
  </si>
  <si>
    <t>EUNICE MUNICIPAL SCHOOLS</t>
  </si>
  <si>
    <t>FARMINGTON MUNICIPAL SCHOOLS</t>
  </si>
  <si>
    <t>FLOYD MUNICIPAL SCHOOLS</t>
  </si>
  <si>
    <t>FORT SUMNER MUNICIPAL SCHOOLS</t>
  </si>
  <si>
    <t>GRADY MUNICIPAL SCHOOLS</t>
  </si>
  <si>
    <t>HAGERMAN MUNICIPAL SCHOOLS</t>
  </si>
  <si>
    <t>HATCH VALLEY PUBLIC SCHOOLS</t>
  </si>
  <si>
    <t>HOBBS MUNICIPAL SCHOOLS</t>
  </si>
  <si>
    <t>HONDO VALLEY PUBLIC SCHOOLS</t>
  </si>
  <si>
    <t>HOUSE MUNICIPAL SCHOOLS</t>
  </si>
  <si>
    <t>JAL PUBLIC SCHOOLS</t>
  </si>
  <si>
    <t>JEMEZ MOUNTAIN PUBLIC SCHOOLS</t>
  </si>
  <si>
    <t>JEMEZ VALLEY PUBLIC SCHOOLS</t>
  </si>
  <si>
    <t>LAKE ARTHUR MUNICIPAL SCHOOLS</t>
  </si>
  <si>
    <t>LAS CRUCES PUBLIC SCHOOLS</t>
  </si>
  <si>
    <t>LOGAN MUNICIPAL SCHOOLS</t>
  </si>
  <si>
    <t>LORDSBURG MUNICIPAL SCHOOLS</t>
  </si>
  <si>
    <t>LOVING MUNICIPAL SCHOOLS</t>
  </si>
  <si>
    <t>MAGDALENA MUNICIPAL SCHOOLS</t>
  </si>
  <si>
    <t>MAXWELL MUNICIPAL SCHOOLS</t>
  </si>
  <si>
    <t>MESA VISTA CONSOLIDATED SCHOOLS</t>
  </si>
  <si>
    <t>MORA INDEPENDENT SCHOOLS</t>
  </si>
  <si>
    <t>MORIARTY-EDGEWOOD SCHOOL DISTRICT</t>
  </si>
  <si>
    <t>MOSQUERO MUNICIPAL SCHOOLS</t>
  </si>
  <si>
    <t>MOUNTAINAIR PUBLIC SCHOOLS</t>
  </si>
  <si>
    <t>PORTALES MUNICIPAL SCHOOLS</t>
  </si>
  <si>
    <t>RATON PUBLIC SCHOOLS</t>
  </si>
  <si>
    <t>RIO RANCHO PUBLIC SCHOOLS</t>
  </si>
  <si>
    <t>ROY MUNICIPAL SCHOOLS</t>
  </si>
  <si>
    <t>RUIDOSO MUNICIPAL SCHOOLS</t>
  </si>
  <si>
    <t>SAN JON MUNICIPAL SCHOOLS</t>
  </si>
  <si>
    <t>SANTA FE PUBLIC SCHOOLS</t>
  </si>
  <si>
    <t>SANTA ROSA CONSOLIDATED SCHOOLS</t>
  </si>
  <si>
    <t>SILVER CONSOLIDATED SCHOOLS</t>
  </si>
  <si>
    <t>SOCORRO CONSOLIDATED SCHOOLS</t>
  </si>
  <si>
    <t>SPRINGER MUNICIPAL SCHOOLS</t>
  </si>
  <si>
    <t>TAOS MUNICIPAL SCHOOLS</t>
  </si>
  <si>
    <t>TATUM MUNICIPAL SCHOOLS</t>
  </si>
  <si>
    <t>TEXICO MUNICIPAL SCHOOLS</t>
  </si>
  <si>
    <t>TRUTH OR CONSEQUENCES MUNICIPAL SCHOOLS</t>
  </si>
  <si>
    <t>TUCUMCARI PUBLIC SCHOOLS</t>
  </si>
  <si>
    <t>TULAROSA MUNICIPAL SCHOOLS</t>
  </si>
  <si>
    <t>VAUGHN MUNICIPAL SCHOOLS</t>
  </si>
  <si>
    <t>WAGON MOUND PUBLIC SCHOOLS</t>
  </si>
  <si>
    <t>ZUNI PUBLIC SCHOOLS</t>
  </si>
  <si>
    <t>LOS ALAMOS PUBLIC SCHOOLS</t>
  </si>
  <si>
    <t>District Info/Matches</t>
  </si>
  <si>
    <t>School(s) in Project</t>
  </si>
  <si>
    <t>District Name</t>
  </si>
  <si>
    <t>Available for Phase 2:</t>
  </si>
  <si>
    <t>SOURCES TOTALS</t>
  </si>
  <si>
    <t>USES TOTALS</t>
  </si>
  <si>
    <t>REMAINING</t>
  </si>
  <si>
    <t>USES TOTAL</t>
  </si>
  <si>
    <t>DISTRICT INFORMATION</t>
  </si>
  <si>
    <t>Comments</t>
  </si>
  <si>
    <t>Current
Resident Mills</t>
  </si>
  <si>
    <t>(dollars in millions)</t>
  </si>
  <si>
    <t>FUNDING SOURCES &amp; REVENUES DETAIL</t>
  </si>
  <si>
    <t>FUNDING USES DETAIL</t>
  </si>
  <si>
    <t>BONDING DETAIL</t>
  </si>
  <si>
    <t>Option 1</t>
  </si>
  <si>
    <t>Option 2</t>
  </si>
  <si>
    <t>Option 3</t>
  </si>
  <si>
    <t>Requirement</t>
  </si>
  <si>
    <t>(9)       the council may adjust the amount of local share otherwise required if it determines that a school district has made a good-faith effort to use all of its local resources.  Before making any adjustment to the local share, the council shall consider whether:</t>
  </si>
  <si>
    <t>(a) the school district has insufficient bonding capacity over the next four years to provide the local match necessary to complete the project and, for all educational purposes, has a residential property tax rate of at least ten dollars ($10.00) on each one thousand dollars ($1,000) of taxable value, as measured by the sum of all rates imposed by resolution of the local school board plus rates set to pay interest and principal on outstanding school district general obligation bonds;</t>
  </si>
  <si>
    <t>(b) the school district:  1) has fewer than an average of eight hundred full-time-equivalent students on the second and third reporting dates of the prior school year; 2) has at least seventy percent of its students eligible for free or reduced-fee lunch; 3) has a phase two formula value calculated pursuant to Paragraph (5) of this subsection that would be greater than fifty percent; and 4) for all educational purposes, has a residential property tax rate of at least seven dollars ($7.00) on each one thousand dollars ($1,000) of taxable value, as measured by the sum of all rates imposed by resolution of the local school board plus rates set to pay interest and principal on outstanding school district general obligation bonds; or</t>
  </si>
  <si>
    <t>(c)  the school district:  1) has an enrollment growth rate over the previous school year of at least two and one-half percent; 2) pursuant to its five-year facilities plan, will be building a new school within the next two years; and 3) for all educational purposes, has a residential property tax rate of at least ten dollars ($10.00) on each one thousand dollars ($1,000) of taxable value, as measured by the sum of all rates imposed by resolution of the local school board plus rates set to pay interest and principal on outstanding school district general obligation bonds;</t>
  </si>
  <si>
    <t>Mill Levy ≥ 10</t>
  </si>
  <si>
    <t>Mill Levy ≥ 7.00</t>
  </si>
  <si>
    <t>FY29</t>
  </si>
  <si>
    <t>Up to date</t>
  </si>
  <si>
    <t>MEM Count</t>
  </si>
  <si>
    <t>Mill Levy</t>
  </si>
  <si>
    <t>Available Bonding Capacity ($)</t>
  </si>
  <si>
    <t>N/A</t>
  </si>
  <si>
    <t>TOTAL:</t>
  </si>
  <si>
    <t>the Public Education Department's SY23-24 Enrollment 80D-120D Average (Incluing PreK)</t>
  </si>
  <si>
    <t>the Public Education Department's Public School Bonding Indebtedness (as of 12/30/2023)</t>
  </si>
  <si>
    <t>This space intentionally left blank.</t>
  </si>
  <si>
    <t>Anticipated Funding from Bond Sales</t>
  </si>
  <si>
    <t>Current &amp; Projected Assessed Land Valuations (ALV):</t>
  </si>
  <si>
    <t>Percentage Bonded to Capacity:</t>
  </si>
  <si>
    <t>Bonds Outstanding Debt as of 6/30 of each FY Including Future Sales (GOBs &amp; ETNs):</t>
  </si>
  <si>
    <t>Total Bonding Capacity (6% of ALV):</t>
  </si>
  <si>
    <t>Anticipated Bonding Capacity in Out-Years</t>
  </si>
  <si>
    <t>District Summary of Financial Position</t>
  </si>
  <si>
    <t>Detail</t>
  </si>
  <si>
    <t>District Representative</t>
  </si>
  <si>
    <t>POTENTIAL PROJECT COST</t>
  </si>
  <si>
    <t>TOTAL ESTIMATED PROJECT COST FOR DISTRICT</t>
  </si>
  <si>
    <t>LOCAL MATCH REDUCTION (WAIVER)</t>
  </si>
  <si>
    <t>District Eligibility</t>
  </si>
  <si>
    <t>Bond Advisor Company</t>
  </si>
  <si>
    <t>Bond Advisor</t>
  </si>
  <si>
    <t>District Contribution to Phase 1:</t>
  </si>
  <si>
    <t>Remaining / Current Cash Balance:</t>
  </si>
  <si>
    <t>Mill Levy Rates</t>
  </si>
  <si>
    <t>Previous, Current, and Future Bond Elections</t>
  </si>
  <si>
    <t>Amount Sold-to-Date</t>
  </si>
  <si>
    <t>Bond Election 
Date</t>
  </si>
  <si>
    <t>Intended 
Uses</t>
  </si>
  <si>
    <t>Total 
Amount</t>
  </si>
  <si>
    <t>Estimated to Date</t>
  </si>
  <si>
    <t>Amount 
Sold</t>
  </si>
  <si>
    <t>Remaining
to Sell</t>
  </si>
  <si>
    <t>Local Match Reduction Eligibility</t>
  </si>
  <si>
    <t>COMMENTS (Not Printed)</t>
  </si>
  <si>
    <t>AZTEC MUNICIPAL SCHOOL DISTRICT</t>
  </si>
  <si>
    <t>BLOOMFIELD SCHOOL DISTRICT</t>
  </si>
  <si>
    <t>CARRIZOZO MUNICIPAL SCHOOL DISTRICT</t>
  </si>
  <si>
    <t>CENTRAL CONSOLIDATED SCHOOL DISTRICT</t>
  </si>
  <si>
    <t>CHAMA VALLEY INDEPENDENT SCHOOL DISTRICT</t>
  </si>
  <si>
    <t>COBRE CONSOLIDATED SCHOOL DISTRICT</t>
  </si>
  <si>
    <t>CORONA PUBLIC SCHOOLS</t>
  </si>
  <si>
    <t>CUBA INDEPENDENT SCHOOL DISTRICT</t>
  </si>
  <si>
    <t>ESTANCIA MUNICIPAL SCHOOL DISTRICT</t>
  </si>
  <si>
    <t>GADSDEN INDEPENDENT SCHOOL DISTRICT</t>
  </si>
  <si>
    <t>GALLUP-MCKINLEY COUNTY SCHOOLS</t>
  </si>
  <si>
    <t>GRANTS-CIBOLA COUNTY SCHOOLS</t>
  </si>
  <si>
    <t>LAS VEGAS CITY SCHOOLS</t>
  </si>
  <si>
    <t>LOS LUNAS SCHOOLS</t>
  </si>
  <si>
    <t>LOVINGTON MUNICIPAL SCHOOL DISTRICT</t>
  </si>
  <si>
    <t>MELROSE MUNICIPAL SCHOOLS</t>
  </si>
  <si>
    <t>PECOS INDEPENDENT SCHOOL DISTRICT</t>
  </si>
  <si>
    <t>PENASCO INDEPENDENT SCHOOL DISTRICT</t>
  </si>
  <si>
    <t>POJOAQUE VALLEY SCHOOL DISTRICT</t>
  </si>
  <si>
    <t>QUEMADO SCHOOLS</t>
  </si>
  <si>
    <t>QUESTA INDEPENDENT SCHOOL DISTRICT</t>
  </si>
  <si>
    <t>RESERVE INDEPENDENT SCHOOLS</t>
  </si>
  <si>
    <t>ROSWELL INDEPENDENT SCHOOL DISTRICT</t>
  </si>
  <si>
    <t>WEST LAS VEGAS SCHOOL DISTRICT</t>
  </si>
  <si>
    <t>Comments (Not Printed)</t>
  </si>
  <si>
    <t>GO Bond Debt Service</t>
  </si>
  <si>
    <t>1. Public Education Department's Public School Bonding Indebtedness (as of 12/30/2023)</t>
  </si>
  <si>
    <t>3. Public Education Department's SY23-24 Enrollment 80D-120D Average (Including PreK)</t>
  </si>
  <si>
    <t>the Public Education Department's FY24 Final Assessed Valuations and Mill Levy Rates as of 9/16/2024</t>
  </si>
  <si>
    <t>2. Public Education Department's FY24 Final Assessed Valuations and Mill Levy Rates as of 9/16/2024</t>
  </si>
  <si>
    <t>MEM Count ≤ 1,500</t>
  </si>
  <si>
    <t>FY30</t>
  </si>
  <si>
    <t>N/A as of 2025 Session</t>
  </si>
  <si>
    <t>Current (FY26)</t>
  </si>
  <si>
    <t>Projected (FY27 - FY30)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</si>
</sst>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_);_(&quot;$&quot;* \(#,##0.0\);_(&quot;$&quot;* &quot;-&quot;??_);_(@_)"/>
    <numFmt numFmtId="165" formatCode="_(&quot;$&quot;* #,##0_);_(&quot;$&quot;* \(#,##0\);_(&quot;$&quot;* &quot;-&quot;??_);_(@_)"/>
    <numFmt numFmtId="166"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u/>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scheme val="minor"/>
    </font>
    <font>
      <b/>
      <sz val="12"/>
      <name val="Arial Narrow"/>
      <family val="2"/>
    </font>
    <font>
      <b/>
      <sz val="11"/>
      <color theme="0"/>
      <name val="Calibri"/>
      <family val="2"/>
      <scheme val="minor"/>
    </font>
    <font>
      <b/>
      <i/>
      <sz val="11"/>
      <color indexed="8"/>
      <name val="Calibri"/>
      <family val="2"/>
      <scheme val="minor"/>
    </font>
    <font>
      <b/>
      <i/>
      <sz val="11"/>
      <color theme="1"/>
      <name val="Calibri"/>
      <family val="2"/>
      <scheme val="minor"/>
    </font>
    <font>
      <i/>
      <sz val="9"/>
      <color theme="1"/>
      <name val="Calibri"/>
      <family val="2"/>
      <scheme val="minor"/>
    </font>
    <font>
      <sz val="11"/>
      <color theme="1"/>
      <name val="Calibri"/>
      <family val="2"/>
      <scheme val="minor"/>
    </font>
    <font>
      <sz val="11"/>
      <name val="Calibri"/>
      <family val="2"/>
      <scheme val="minor"/>
    </font>
    <font>
      <vertAlign val="superscript"/>
      <sz val="11"/>
      <name val="Calibri"/>
      <family val="2"/>
      <scheme val="minor"/>
    </font>
    <font>
      <sz val="8"/>
      <color theme="1"/>
      <name val="Calibri"/>
      <family val="2"/>
      <scheme val="minor"/>
    </font>
    <font>
      <sz val="8"/>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49998474074526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1"/>
        <bgColor indexed="64"/>
      </patternFill>
    </fill>
    <fill>
      <patternFill patternType="solid">
        <fgColor theme="5"/>
        <bgColor theme="5"/>
      </patternFill>
    </fill>
    <fill>
      <patternFill patternType="solid">
        <fgColor theme="5" tint="0.79998168889431442"/>
        <bgColor theme="5" tint="0.79998168889431442"/>
      </patternFill>
    </fill>
    <fill>
      <patternFill patternType="solid">
        <fgColor theme="1"/>
        <bgColor theme="5"/>
      </patternFill>
    </fill>
    <fill>
      <patternFill patternType="lightUp">
        <bgColor theme="1"/>
      </patternFill>
    </fill>
    <fill>
      <patternFill patternType="solid">
        <fgColor theme="5" tint="0.79998168889431442"/>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9" tint="-0.499984740745262"/>
        <bgColor indexed="64"/>
      </patternFill>
    </fill>
    <fill>
      <patternFill patternType="solid">
        <fgColor theme="1"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double">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75">
    <xf numFmtId="0" fontId="0" fillId="0" borderId="0" xfId="0"/>
    <xf numFmtId="44" fontId="0" fillId="0" borderId="0" xfId="1" applyFont="1"/>
    <xf numFmtId="0" fontId="0" fillId="0" borderId="1" xfId="0" applyBorder="1"/>
    <xf numFmtId="44" fontId="0" fillId="0" borderId="1" xfId="1" applyFont="1" applyBorder="1"/>
    <xf numFmtId="0" fontId="0" fillId="0" borderId="7" xfId="0" applyBorder="1"/>
    <xf numFmtId="44" fontId="0" fillId="0" borderId="7" xfId="1" applyFont="1" applyBorder="1"/>
    <xf numFmtId="0" fontId="0" fillId="0" borderId="0" xfId="0" applyAlignment="1">
      <alignment horizontal="center"/>
    </xf>
    <xf numFmtId="0" fontId="0" fillId="0" borderId="5" xfId="0"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9" xfId="0" applyBorder="1"/>
    <xf numFmtId="165" fontId="0" fillId="0" borderId="0" xfId="1" applyNumberFormat="1"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9" fontId="0" fillId="0" borderId="0" xfId="2" applyFont="1" applyAlignment="1">
      <alignment horizontal="center"/>
    </xf>
    <xf numFmtId="9" fontId="0" fillId="0" borderId="0" xfId="0" applyNumberFormat="1" applyAlignment="1">
      <alignment horizontal="center"/>
    </xf>
    <xf numFmtId="44" fontId="0" fillId="0" borderId="6" xfId="1" applyFont="1" applyBorder="1"/>
    <xf numFmtId="44" fontId="0" fillId="0" borderId="8" xfId="1" applyFont="1" applyBorder="1"/>
    <xf numFmtId="0" fontId="0" fillId="0" borderId="0" xfId="0" applyAlignment="1">
      <alignment horizontal="left"/>
    </xf>
    <xf numFmtId="44" fontId="0" fillId="0" borderId="0" xfId="1" applyFont="1" applyAlignment="1" applyProtection="1">
      <alignment wrapText="1"/>
    </xf>
    <xf numFmtId="44" fontId="0" fillId="0" borderId="0" xfId="1" applyFont="1" applyProtection="1"/>
    <xf numFmtId="0" fontId="0" fillId="0" borderId="0" xfId="0" applyAlignment="1">
      <alignment wrapText="1"/>
    </xf>
    <xf numFmtId="44" fontId="0" fillId="0" borderId="0" xfId="1" applyFont="1" applyAlignment="1" applyProtection="1">
      <alignment horizontal="center"/>
    </xf>
    <xf numFmtId="44" fontId="0" fillId="0" borderId="16" xfId="1" applyFont="1" applyBorder="1" applyAlignment="1" applyProtection="1">
      <alignment horizontal="center"/>
    </xf>
    <xf numFmtId="0" fontId="0" fillId="0" borderId="2" xfId="0" applyBorder="1" applyAlignment="1">
      <alignment horizontal="center"/>
    </xf>
    <xf numFmtId="0" fontId="0" fillId="0" borderId="3" xfId="0" applyBorder="1" applyAlignment="1">
      <alignment horizontal="center"/>
    </xf>
    <xf numFmtId="44" fontId="0" fillId="0" borderId="3" xfId="1" applyFont="1" applyBorder="1" applyAlignment="1" applyProtection="1">
      <alignment horizontal="center"/>
    </xf>
    <xf numFmtId="44" fontId="0" fillId="0" borderId="4" xfId="1" applyFont="1" applyBorder="1" applyAlignment="1" applyProtection="1">
      <alignment horizontal="center"/>
    </xf>
    <xf numFmtId="44" fontId="0" fillId="0" borderId="17" xfId="1" applyFont="1" applyFill="1" applyBorder="1" applyAlignment="1" applyProtection="1">
      <alignment horizontal="center"/>
    </xf>
    <xf numFmtId="44" fontId="0" fillId="0" borderId="2" xfId="1" applyFont="1" applyBorder="1" applyAlignment="1" applyProtection="1">
      <alignment horizontal="center"/>
    </xf>
    <xf numFmtId="44" fontId="2" fillId="0" borderId="0" xfId="1" applyFont="1" applyProtection="1"/>
    <xf numFmtId="0" fontId="2" fillId="0" borderId="0" xfId="0" applyFont="1" applyAlignment="1">
      <alignment horizontal="right"/>
    </xf>
    <xf numFmtId="0" fontId="2" fillId="0" borderId="11" xfId="0" applyFont="1" applyBorder="1" applyAlignment="1">
      <alignment horizontal="right"/>
    </xf>
    <xf numFmtId="44" fontId="2" fillId="0" borderId="11" xfId="1" applyFont="1" applyBorder="1" applyProtection="1"/>
    <xf numFmtId="0" fontId="0" fillId="0" borderId="4" xfId="0" applyBorder="1" applyAlignment="1">
      <alignment horizontal="center" wrapText="1"/>
    </xf>
    <xf numFmtId="0" fontId="3" fillId="0" borderId="0" xfId="0" applyFont="1"/>
    <xf numFmtId="0" fontId="0" fillId="0" borderId="0" xfId="0" applyAlignment="1">
      <alignment horizontal="left" wrapText="1"/>
    </xf>
    <xf numFmtId="0" fontId="0" fillId="7" borderId="0" xfId="0" applyFill="1"/>
    <xf numFmtId="9" fontId="0" fillId="0" borderId="0" xfId="2" applyFont="1"/>
    <xf numFmtId="0" fontId="10" fillId="0" borderId="0" xfId="0" applyFont="1" applyAlignment="1">
      <alignment horizontal="center" vertical="top" wrapText="1"/>
    </xf>
    <xf numFmtId="0" fontId="10" fillId="7" borderId="0" xfId="0" applyFont="1" applyFill="1" applyAlignment="1">
      <alignment vertical="top" wrapText="1"/>
    </xf>
    <xf numFmtId="165" fontId="0" fillId="7" borderId="0" xfId="1" applyNumberFormat="1" applyFont="1" applyFill="1"/>
    <xf numFmtId="165" fontId="0" fillId="7" borderId="0" xfId="1" applyNumberFormat="1" applyFont="1" applyFill="1" applyAlignment="1">
      <alignment wrapText="1"/>
    </xf>
    <xf numFmtId="165" fontId="0" fillId="0" borderId="0" xfId="1" applyNumberFormat="1" applyFont="1" applyAlignment="1">
      <alignment horizontal="center"/>
    </xf>
    <xf numFmtId="166" fontId="0" fillId="7" borderId="0" xfId="3" applyNumberFormat="1" applyFont="1" applyFill="1"/>
    <xf numFmtId="166" fontId="10" fillId="7" borderId="0" xfId="3" applyNumberFormat="1" applyFont="1" applyFill="1" applyBorder="1" applyAlignment="1">
      <alignment vertical="top" wrapText="1"/>
    </xf>
    <xf numFmtId="166" fontId="0" fillId="0" borderId="0" xfId="3" applyNumberFormat="1" applyFont="1" applyAlignment="1">
      <alignment horizontal="center"/>
    </xf>
    <xf numFmtId="166" fontId="0" fillId="0" borderId="0" xfId="3" applyNumberFormat="1" applyFont="1"/>
    <xf numFmtId="44" fontId="0" fillId="0" borderId="1" xfId="1" applyFont="1" applyFill="1" applyBorder="1" applyProtection="1">
      <protection locked="0"/>
    </xf>
    <xf numFmtId="44" fontId="0" fillId="0" borderId="18" xfId="1" applyFont="1" applyFill="1" applyBorder="1" applyProtection="1">
      <protection locked="0"/>
    </xf>
    <xf numFmtId="44" fontId="0" fillId="0" borderId="5" xfId="1" applyFont="1" applyFill="1" applyBorder="1" applyProtection="1">
      <protection locked="0"/>
    </xf>
    <xf numFmtId="44" fontId="0" fillId="0" borderId="7" xfId="1" applyFont="1" applyFill="1" applyBorder="1" applyProtection="1">
      <protection locked="0"/>
    </xf>
    <xf numFmtId="44" fontId="0" fillId="0" borderId="19" xfId="1" applyFont="1" applyFill="1" applyBorder="1" applyProtection="1">
      <protection locked="0"/>
    </xf>
    <xf numFmtId="44" fontId="0" fillId="0" borderId="9" xfId="1" applyFont="1" applyFill="1" applyBorder="1" applyProtection="1">
      <protection locked="0"/>
    </xf>
    <xf numFmtId="44" fontId="1" fillId="0" borderId="0" xfId="1" applyFont="1" applyAlignment="1" applyProtection="1">
      <alignment horizontal="center"/>
    </xf>
    <xf numFmtId="0" fontId="0" fillId="0" borderId="11" xfId="0" applyBorder="1" applyAlignment="1">
      <alignment horizontal="right"/>
    </xf>
    <xf numFmtId="44" fontId="1" fillId="0" borderId="11" xfId="1" applyFont="1" applyBorder="1" applyProtection="1"/>
    <xf numFmtId="0" fontId="0" fillId="0" borderId="0" xfId="0" applyAlignment="1">
      <alignment horizontal="right"/>
    </xf>
    <xf numFmtId="44" fontId="1" fillId="0" borderId="0" xfId="1" applyFont="1" applyProtection="1"/>
    <xf numFmtId="44" fontId="0" fillId="0" borderId="6" xfId="1" applyFont="1" applyFill="1" applyBorder="1" applyProtection="1">
      <protection locked="0"/>
    </xf>
    <xf numFmtId="44" fontId="0" fillId="0" borderId="8" xfId="1" applyFont="1" applyFill="1" applyBorder="1" applyProtection="1">
      <protection locked="0"/>
    </xf>
    <xf numFmtId="0" fontId="5" fillId="0" borderId="5" xfId="0" applyFont="1" applyBorder="1" applyAlignment="1" applyProtection="1">
      <alignment horizontal="center"/>
      <protection locked="0"/>
    </xf>
    <xf numFmtId="44" fontId="5" fillId="0" borderId="1" xfId="1" applyFont="1" applyFill="1" applyBorder="1" applyProtection="1">
      <protection locked="0"/>
    </xf>
    <xf numFmtId="44" fontId="5" fillId="0" borderId="6" xfId="1" applyFont="1" applyFill="1" applyBorder="1" applyProtection="1">
      <protection locked="0"/>
    </xf>
    <xf numFmtId="44" fontId="5" fillId="0" borderId="18" xfId="1" applyFont="1" applyFill="1" applyBorder="1" applyProtection="1">
      <protection locked="0"/>
    </xf>
    <xf numFmtId="44" fontId="5" fillId="0" borderId="5" xfId="1" applyFont="1" applyFill="1" applyBorder="1" applyProtection="1">
      <protection locked="0"/>
    </xf>
    <xf numFmtId="44" fontId="5" fillId="0" borderId="1" xfId="1" applyFont="1" applyBorder="1" applyProtection="1">
      <protection locked="0"/>
    </xf>
    <xf numFmtId="44" fontId="5" fillId="0" borderId="7" xfId="1" applyFont="1" applyFill="1" applyBorder="1" applyProtection="1">
      <protection locked="0"/>
    </xf>
    <xf numFmtId="44" fontId="5" fillId="0" borderId="8" xfId="1" applyFont="1" applyFill="1" applyBorder="1" applyProtection="1">
      <protection locked="0"/>
    </xf>
    <xf numFmtId="44" fontId="5" fillId="0" borderId="19" xfId="1" applyFont="1" applyFill="1" applyBorder="1" applyProtection="1">
      <protection locked="0"/>
    </xf>
    <xf numFmtId="44" fontId="5" fillId="0" borderId="9" xfId="1" applyFont="1" applyFill="1" applyBorder="1" applyProtection="1">
      <protection locked="0"/>
    </xf>
    <xf numFmtId="44" fontId="5" fillId="0" borderId="7" xfId="1" applyFont="1" applyBorder="1" applyProtection="1">
      <protection locked="0"/>
    </xf>
    <xf numFmtId="0" fontId="0" fillId="0" borderId="10" xfId="0" applyBorder="1" applyAlignment="1">
      <alignment horizontal="center"/>
    </xf>
    <xf numFmtId="0" fontId="0" fillId="0" borderId="24" xfId="0" applyBorder="1" applyAlignment="1">
      <alignment horizontal="center"/>
    </xf>
    <xf numFmtId="0" fontId="0" fillId="0" borderId="3" xfId="0" applyBorder="1" applyAlignment="1">
      <alignment horizontal="center" wrapText="1"/>
    </xf>
    <xf numFmtId="0" fontId="0" fillId="0" borderId="4" xfId="0" applyBorder="1" applyAlignment="1">
      <alignment horizontal="center" vertical="center"/>
    </xf>
    <xf numFmtId="0" fontId="0" fillId="0" borderId="17" xfId="0" applyBorder="1" applyAlignment="1">
      <alignment horizontal="center" vertical="center"/>
    </xf>
    <xf numFmtId="0" fontId="9" fillId="0" borderId="3" xfId="0" applyFont="1" applyBorder="1" applyAlignment="1">
      <alignment horizontal="center" vertical="center"/>
    </xf>
    <xf numFmtId="1" fontId="8" fillId="0" borderId="5" xfId="0" applyNumberFormat="1" applyFont="1" applyBorder="1" applyAlignment="1">
      <alignment horizontal="center" vertical="center" shrinkToFit="1"/>
    </xf>
    <xf numFmtId="1" fontId="8" fillId="0" borderId="5" xfId="0" applyNumberFormat="1" applyFont="1" applyBorder="1" applyAlignment="1">
      <alignment horizontal="center" vertical="top" shrinkToFit="1"/>
    </xf>
    <xf numFmtId="1" fontId="8" fillId="0" borderId="9" xfId="0" applyNumberFormat="1" applyFont="1" applyBorder="1" applyAlignment="1">
      <alignment horizontal="center" vertical="top" shrinkToFit="1"/>
    </xf>
    <xf numFmtId="0" fontId="0" fillId="2" borderId="10" xfId="0" applyFill="1" applyBorder="1" applyAlignment="1">
      <alignment horizontal="center"/>
    </xf>
    <xf numFmtId="0" fontId="11" fillId="10" borderId="1" xfId="0" applyFont="1" applyFill="1" applyBorder="1" applyAlignment="1">
      <alignment horizontal="center" vertical="center"/>
    </xf>
    <xf numFmtId="0" fontId="11" fillId="10" borderId="18" xfId="0" applyFont="1" applyFill="1" applyBorder="1" applyAlignment="1">
      <alignment horizontal="center" vertical="center"/>
    </xf>
    <xf numFmtId="9" fontId="0" fillId="5" borderId="6" xfId="2" applyFont="1" applyFill="1" applyBorder="1" applyAlignment="1" applyProtection="1">
      <alignment horizontal="center" vertical="center"/>
    </xf>
    <xf numFmtId="165" fontId="0" fillId="11" borderId="5" xfId="0" applyNumberFormat="1" applyFill="1" applyBorder="1" applyAlignment="1">
      <alignment horizontal="right" vertical="center"/>
    </xf>
    <xf numFmtId="165" fontId="0" fillId="11" borderId="1" xfId="0" applyNumberFormat="1" applyFill="1" applyBorder="1" applyAlignment="1">
      <alignment horizontal="right" vertical="center"/>
    </xf>
    <xf numFmtId="10" fontId="0" fillId="0" borderId="1" xfId="2" applyNumberFormat="1" applyFont="1" applyBorder="1" applyAlignment="1" applyProtection="1">
      <alignment horizontal="center" vertical="center"/>
    </xf>
    <xf numFmtId="0" fontId="0" fillId="0" borderId="6" xfId="0" applyBorder="1" applyAlignment="1">
      <alignment horizontal="right" wrapText="1"/>
    </xf>
    <xf numFmtId="165" fontId="0" fillId="0" borderId="18" xfId="1" applyNumberFormat="1" applyFont="1" applyBorder="1" applyAlignment="1" applyProtection="1">
      <alignment horizontal="right" vertical="center"/>
    </xf>
    <xf numFmtId="165" fontId="0" fillId="0" borderId="5" xfId="0" applyNumberFormat="1" applyBorder="1" applyAlignment="1">
      <alignment horizontal="right" vertical="center"/>
    </xf>
    <xf numFmtId="165" fontId="0" fillId="0" borderId="1" xfId="0" applyNumberFormat="1" applyBorder="1" applyAlignment="1">
      <alignment horizontal="right" vertical="center"/>
    </xf>
    <xf numFmtId="165" fontId="6" fillId="13" borderId="1" xfId="1" applyNumberFormat="1" applyFont="1" applyFill="1" applyBorder="1" applyAlignment="1" applyProtection="1">
      <alignment horizontal="center" vertical="center"/>
    </xf>
    <xf numFmtId="0" fontId="0" fillId="11" borderId="6" xfId="0" applyFill="1" applyBorder="1" applyAlignment="1">
      <alignment horizontal="right" wrapText="1"/>
    </xf>
    <xf numFmtId="9" fontId="0" fillId="13" borderId="1" xfId="2" applyFont="1" applyFill="1" applyBorder="1" applyAlignment="1" applyProtection="1">
      <alignment horizontal="right" vertical="center"/>
    </xf>
    <xf numFmtId="165" fontId="0" fillId="0" borderId="5" xfId="1" applyNumberFormat="1" applyFont="1" applyBorder="1" applyAlignment="1" applyProtection="1">
      <alignment horizontal="right" vertical="center"/>
    </xf>
    <xf numFmtId="165" fontId="0" fillId="0" borderId="1" xfId="1" applyNumberFormat="1" applyFont="1" applyBorder="1" applyAlignment="1" applyProtection="1">
      <alignment horizontal="right" vertical="center"/>
    </xf>
    <xf numFmtId="9" fontId="3" fillId="13" borderId="1" xfId="2" applyFont="1" applyFill="1" applyBorder="1" applyAlignment="1" applyProtection="1">
      <alignment horizontal="center" vertical="center"/>
    </xf>
    <xf numFmtId="9" fontId="3" fillId="11" borderId="5" xfId="2" applyFont="1" applyFill="1" applyBorder="1" applyAlignment="1" applyProtection="1">
      <alignment horizontal="center" vertical="center"/>
    </xf>
    <xf numFmtId="9" fontId="3" fillId="11" borderId="1" xfId="2" applyFont="1" applyFill="1" applyBorder="1" applyAlignment="1" applyProtection="1">
      <alignment horizontal="center" vertical="center"/>
    </xf>
    <xf numFmtId="165" fontId="7" fillId="0" borderId="0" xfId="1" applyNumberFormat="1" applyFont="1" applyFill="1" applyBorder="1" applyAlignment="1" applyProtection="1">
      <alignment horizontal="right" vertical="center"/>
    </xf>
    <xf numFmtId="0" fontId="6" fillId="0" borderId="0" xfId="0" applyFont="1" applyAlignment="1">
      <alignment horizontal="center" vertical="center"/>
    </xf>
    <xf numFmtId="164" fontId="7" fillId="0" borderId="0" xfId="1" applyNumberFormat="1" applyFont="1" applyFill="1" applyBorder="1" applyAlignment="1" applyProtection="1">
      <alignment vertical="center"/>
    </xf>
    <xf numFmtId="0" fontId="5" fillId="0" borderId="1" xfId="0" applyFont="1" applyBorder="1" applyAlignment="1" applyProtection="1">
      <alignment vertical="top" wrapText="1"/>
      <protection locked="0"/>
    </xf>
    <xf numFmtId="0" fontId="0" fillId="0" borderId="1" xfId="0" applyBorder="1" applyProtection="1">
      <protection locked="0"/>
    </xf>
    <xf numFmtId="0" fontId="0" fillId="0" borderId="7" xfId="0" applyBorder="1" applyProtection="1">
      <protection locked="0"/>
    </xf>
    <xf numFmtId="10" fontId="0" fillId="11" borderId="5" xfId="2" applyNumberFormat="1" applyFont="1" applyFill="1" applyBorder="1" applyAlignment="1" applyProtection="1">
      <alignment horizontal="center" vertical="center"/>
      <protection locked="0"/>
    </xf>
    <xf numFmtId="3" fontId="0" fillId="0" borderId="0" xfId="1" applyNumberFormat="1" applyFont="1" applyFill="1" applyAlignment="1" applyProtection="1">
      <alignment horizontal="center"/>
      <protection hidden="1"/>
    </xf>
    <xf numFmtId="2" fontId="0" fillId="0" borderId="0" xfId="1" applyNumberFormat="1" applyFont="1" applyFill="1" applyAlignment="1" applyProtection="1">
      <alignment horizontal="center"/>
      <protection hidden="1"/>
    </xf>
    <xf numFmtId="3" fontId="0" fillId="0" borderId="0" xfId="3" applyNumberFormat="1" applyFont="1" applyFill="1" applyAlignment="1" applyProtection="1">
      <alignment horizontal="center"/>
      <protection hidden="1"/>
    </xf>
    <xf numFmtId="0" fontId="0" fillId="0" borderId="1" xfId="0" applyBorder="1" applyAlignment="1" applyProtection="1">
      <alignment horizontal="center"/>
      <protection hidden="1"/>
    </xf>
    <xf numFmtId="0" fontId="0" fillId="0" borderId="0" xfId="0" applyAlignment="1" applyProtection="1">
      <alignment horizontal="left"/>
      <protection hidden="1"/>
    </xf>
    <xf numFmtId="0" fontId="6" fillId="14" borderId="1" xfId="1" applyNumberFormat="1" applyFont="1" applyFill="1" applyBorder="1" applyAlignment="1" applyProtection="1">
      <alignment horizontal="right" vertical="center"/>
      <protection locked="0"/>
    </xf>
    <xf numFmtId="0" fontId="11" fillId="10" borderId="1" xfId="0" applyFont="1" applyFill="1" applyBorder="1" applyAlignment="1">
      <alignment horizontal="center" vertical="center" wrapText="1"/>
    </xf>
    <xf numFmtId="0" fontId="15" fillId="0" borderId="5" xfId="0" applyFont="1" applyBorder="1" applyAlignment="1" applyProtection="1">
      <alignment horizontal="center"/>
      <protection locked="0"/>
    </xf>
    <xf numFmtId="44" fontId="15" fillId="0" borderId="1" xfId="1" applyFont="1" applyFill="1" applyBorder="1" applyProtection="1">
      <protection locked="0"/>
    </xf>
    <xf numFmtId="0" fontId="16" fillId="0" borderId="5" xfId="0" applyFont="1" applyBorder="1" applyAlignment="1" applyProtection="1">
      <alignment horizontal="center"/>
      <protection locked="0"/>
    </xf>
    <xf numFmtId="44" fontId="16" fillId="0" borderId="1" xfId="1" applyFont="1" applyFill="1" applyBorder="1" applyProtection="1">
      <protection locked="0"/>
    </xf>
    <xf numFmtId="44" fontId="16" fillId="0" borderId="1" xfId="1" applyFont="1" applyBorder="1" applyProtection="1">
      <protection locked="0"/>
    </xf>
    <xf numFmtId="44" fontId="15" fillId="0" borderId="25" xfId="1" applyFont="1" applyFill="1" applyBorder="1" applyProtection="1">
      <protection locked="0"/>
    </xf>
    <xf numFmtId="44" fontId="15" fillId="0" borderId="18" xfId="1" applyFont="1" applyFill="1" applyBorder="1" applyProtection="1">
      <protection locked="0"/>
    </xf>
    <xf numFmtId="44" fontId="16" fillId="0" borderId="25" xfId="1" applyFont="1" applyFill="1" applyBorder="1" applyProtection="1">
      <protection locked="0"/>
    </xf>
    <xf numFmtId="44" fontId="16" fillId="0" borderId="18" xfId="1" applyFont="1" applyFill="1" applyBorder="1" applyProtection="1">
      <protection locked="0"/>
    </xf>
    <xf numFmtId="0" fontId="0" fillId="0" borderId="0" xfId="0" applyAlignment="1">
      <alignment horizontal="center" wrapText="1"/>
    </xf>
    <xf numFmtId="44" fontId="0" fillId="11" borderId="18" xfId="1" applyFont="1" applyFill="1" applyBorder="1" applyAlignment="1" applyProtection="1">
      <alignment horizontal="right" vertical="center"/>
      <protection locked="0"/>
    </xf>
    <xf numFmtId="164" fontId="11" fillId="15" borderId="1" xfId="1" applyNumberFormat="1" applyFont="1" applyFill="1" applyBorder="1" applyAlignment="1" applyProtection="1">
      <alignment horizontal="center" vertical="center" wrapText="1"/>
    </xf>
    <xf numFmtId="164" fontId="11" fillId="15" borderId="1" xfId="1" applyNumberFormat="1" applyFont="1" applyFill="1" applyBorder="1" applyAlignment="1" applyProtection="1">
      <alignment horizontal="center" wrapText="1"/>
    </xf>
    <xf numFmtId="0" fontId="11" fillId="15" borderId="1" xfId="0" applyFont="1" applyFill="1" applyBorder="1" applyAlignment="1">
      <alignment horizontal="center" wrapText="1"/>
    </xf>
    <xf numFmtId="164" fontId="11" fillId="15" borderId="1" xfId="1" applyNumberFormat="1" applyFont="1" applyFill="1" applyBorder="1" applyAlignment="1" applyProtection="1">
      <alignment horizontal="center"/>
    </xf>
    <xf numFmtId="165" fontId="0" fillId="0" borderId="1" xfId="1" applyNumberFormat="1" applyFont="1" applyFill="1" applyBorder="1" applyAlignment="1" applyProtection="1">
      <protection locked="0"/>
    </xf>
    <xf numFmtId="165" fontId="0" fillId="0" borderId="30" xfId="1" applyNumberFormat="1" applyFont="1" applyFill="1" applyBorder="1" applyAlignment="1" applyProtection="1">
      <protection locked="0"/>
    </xf>
    <xf numFmtId="0" fontId="2" fillId="0" borderId="3" xfId="0" applyFont="1" applyBorder="1" applyAlignment="1">
      <alignment horizontal="center"/>
    </xf>
    <xf numFmtId="0" fontId="2" fillId="0" borderId="0" xfId="0" applyFont="1"/>
    <xf numFmtId="165" fontId="2" fillId="0" borderId="3" xfId="0" applyNumberFormat="1" applyFont="1" applyBorder="1"/>
    <xf numFmtId="165" fontId="5" fillId="0" borderId="1" xfId="1" applyNumberFormat="1" applyFont="1" applyFill="1" applyBorder="1" applyAlignment="1" applyProtection="1">
      <alignment vertical="top" wrapText="1"/>
      <protection locked="0"/>
    </xf>
    <xf numFmtId="165" fontId="0" fillId="0" borderId="1" xfId="1" applyNumberFormat="1" applyFont="1" applyFill="1" applyBorder="1" applyProtection="1">
      <protection locked="0"/>
    </xf>
    <xf numFmtId="165" fontId="0" fillId="0" borderId="6" xfId="1" applyNumberFormat="1" applyFont="1" applyFill="1" applyBorder="1" applyProtection="1">
      <protection locked="0"/>
    </xf>
    <xf numFmtId="165" fontId="0" fillId="0" borderId="18" xfId="1" applyNumberFormat="1" applyFont="1" applyFill="1" applyBorder="1" applyProtection="1">
      <protection locked="0"/>
    </xf>
    <xf numFmtId="165" fontId="0" fillId="0" borderId="5" xfId="1" applyNumberFormat="1" applyFont="1" applyFill="1" applyBorder="1" applyProtection="1">
      <protection locked="0"/>
    </xf>
    <xf numFmtId="165" fontId="9" fillId="0" borderId="3" xfId="1" applyNumberFormat="1" applyFont="1" applyFill="1" applyBorder="1" applyProtection="1">
      <protection locked="0"/>
    </xf>
    <xf numFmtId="165" fontId="9" fillId="0" borderId="1" xfId="1" applyNumberFormat="1" applyFont="1" applyFill="1" applyBorder="1" applyProtection="1">
      <protection locked="0"/>
    </xf>
    <xf numFmtId="165" fontId="0" fillId="0" borderId="7" xfId="1" applyNumberFormat="1" applyFont="1" applyFill="1" applyBorder="1" applyProtection="1">
      <protection locked="0"/>
    </xf>
    <xf numFmtId="165" fontId="0" fillId="0" borderId="8" xfId="1" applyNumberFormat="1" applyFont="1" applyFill="1" applyBorder="1" applyProtection="1">
      <protection locked="0"/>
    </xf>
    <xf numFmtId="165" fontId="0" fillId="0" borderId="25" xfId="1" applyNumberFormat="1" applyFont="1" applyFill="1" applyBorder="1" applyProtection="1">
      <protection locked="0"/>
    </xf>
    <xf numFmtId="165" fontId="0" fillId="0" borderId="9" xfId="1" applyNumberFormat="1" applyFont="1" applyFill="1" applyBorder="1" applyProtection="1">
      <protection locked="0"/>
    </xf>
    <xf numFmtId="165" fontId="9" fillId="0" borderId="7" xfId="1" applyNumberFormat="1" applyFont="1" applyFill="1" applyBorder="1" applyProtection="1">
      <protection locked="0"/>
    </xf>
    <xf numFmtId="165" fontId="2" fillId="0" borderId="3" xfId="1" applyNumberFormat="1" applyFont="1" applyFill="1" applyBorder="1" applyProtection="1"/>
    <xf numFmtId="165" fontId="2" fillId="0" borderId="4" xfId="1" applyNumberFormat="1" applyFont="1" applyFill="1" applyBorder="1" applyProtection="1"/>
    <xf numFmtId="165" fontId="2" fillId="0" borderId="26" xfId="1" applyNumberFormat="1" applyFont="1" applyFill="1" applyBorder="1" applyProtection="1"/>
    <xf numFmtId="165" fontId="2" fillId="0" borderId="2" xfId="1" applyNumberFormat="1" applyFont="1" applyFill="1" applyBorder="1" applyProtection="1"/>
    <xf numFmtId="0" fontId="11" fillId="10" borderId="6" xfId="0" applyFont="1" applyFill="1" applyBorder="1" applyAlignment="1">
      <alignment horizontal="center" vertical="center"/>
    </xf>
    <xf numFmtId="0" fontId="11" fillId="10" borderId="5" xfId="0" applyFont="1" applyFill="1" applyBorder="1" applyAlignment="1">
      <alignment horizontal="center" vertical="center"/>
    </xf>
    <xf numFmtId="0" fontId="0" fillId="0" borderId="5" xfId="0" applyBorder="1" applyAlignment="1" applyProtection="1">
      <alignment horizontal="center"/>
      <protection locked="0"/>
    </xf>
    <xf numFmtId="0" fontId="4" fillId="0" borderId="0" xfId="0" applyFont="1" applyAlignment="1">
      <alignment horizontal="center" wrapText="1"/>
    </xf>
    <xf numFmtId="44" fontId="4" fillId="0" borderId="6" xfId="1" applyFont="1" applyBorder="1" applyAlignment="1" applyProtection="1">
      <alignment wrapText="1"/>
      <protection locked="0"/>
    </xf>
    <xf numFmtId="44" fontId="4" fillId="0" borderId="8" xfId="1" applyFont="1" applyBorder="1" applyAlignment="1" applyProtection="1">
      <alignment wrapText="1"/>
      <protection locked="0"/>
    </xf>
    <xf numFmtId="44" fontId="0" fillId="0" borderId="0" xfId="1" applyFont="1" applyFill="1" applyProtection="1"/>
    <xf numFmtId="0" fontId="2" fillId="8" borderId="0" xfId="0" applyFont="1" applyFill="1"/>
    <xf numFmtId="44" fontId="2" fillId="8" borderId="0" xfId="1" applyFont="1" applyFill="1" applyAlignment="1" applyProtection="1">
      <alignment horizontal="center"/>
    </xf>
    <xf numFmtId="0" fontId="0" fillId="0" borderId="0" xfId="0" applyAlignment="1">
      <alignment horizontal="left" indent="1"/>
    </xf>
    <xf numFmtId="0" fontId="0" fillId="0" borderId="0" xfId="0" applyAlignment="1" applyProtection="1">
      <alignment horizontal="center"/>
      <protection hidden="1"/>
    </xf>
    <xf numFmtId="44" fontId="0" fillId="0" borderId="1" xfId="1" applyFont="1" applyBorder="1" applyProtection="1"/>
    <xf numFmtId="44" fontId="15" fillId="0" borderId="1" xfId="1" applyFont="1" applyBorder="1" applyProtection="1"/>
    <xf numFmtId="44" fontId="0" fillId="0" borderId="7" xfId="1" applyFont="1" applyBorder="1" applyProtection="1"/>
    <xf numFmtId="0" fontId="4" fillId="0" borderId="2" xfId="0" applyFont="1" applyBorder="1" applyAlignment="1">
      <alignment horizontal="center"/>
    </xf>
    <xf numFmtId="0" fontId="4" fillId="0" borderId="3" xfId="0" applyFont="1" applyBorder="1" applyAlignment="1">
      <alignment horizontal="center"/>
    </xf>
    <xf numFmtId="44" fontId="4" fillId="0" borderId="3" xfId="1" applyFont="1" applyBorder="1" applyAlignment="1" applyProtection="1">
      <alignment horizontal="center"/>
    </xf>
    <xf numFmtId="44" fontId="4" fillId="0" borderId="4" xfId="1" applyFont="1" applyBorder="1" applyAlignment="1" applyProtection="1">
      <alignment horizontal="center"/>
    </xf>
    <xf numFmtId="44" fontId="4" fillId="0" borderId="17" xfId="1" applyFont="1" applyFill="1" applyBorder="1" applyAlignment="1" applyProtection="1">
      <alignment horizontal="center"/>
    </xf>
    <xf numFmtId="44" fontId="4" fillId="0" borderId="2" xfId="1" applyFont="1" applyBorder="1" applyAlignment="1" applyProtection="1">
      <alignment horizontal="center"/>
    </xf>
    <xf numFmtId="0" fontId="4" fillId="0" borderId="4" xfId="0" applyFont="1" applyBorder="1" applyAlignment="1">
      <alignment horizontal="center" wrapText="1"/>
    </xf>
    <xf numFmtId="44" fontId="1" fillId="0" borderId="0" xfId="1" applyFont="1" applyBorder="1" applyProtection="1"/>
    <xf numFmtId="0" fontId="5" fillId="0" borderId="1" xfId="0" applyFont="1" applyBorder="1" applyAlignment="1" applyProtection="1">
      <alignment horizontal="center"/>
      <protection hidden="1"/>
    </xf>
    <xf numFmtId="165" fontId="0" fillId="0" borderId="1" xfId="1" applyNumberFormat="1" applyFont="1" applyFill="1" applyBorder="1" applyAlignment="1" applyProtection="1"/>
    <xf numFmtId="165" fontId="0" fillId="0" borderId="30" xfId="1" applyNumberFormat="1" applyFont="1" applyFill="1" applyBorder="1" applyAlignment="1" applyProtection="1"/>
    <xf numFmtId="14" fontId="4" fillId="6" borderId="0" xfId="0" applyNumberFormat="1" applyFont="1" applyFill="1" applyAlignment="1" applyProtection="1">
      <alignment horizontal="center"/>
      <protection locked="0"/>
    </xf>
    <xf numFmtId="14" fontId="0" fillId="0" borderId="1" xfId="0" applyNumberFormat="1" applyBorder="1" applyAlignment="1" applyProtection="1">
      <alignment horizontal="center" vertical="center"/>
      <protection locked="0"/>
    </xf>
    <xf numFmtId="0" fontId="5" fillId="0" borderId="1" xfId="0" applyFont="1" applyBorder="1" applyAlignment="1" applyProtection="1">
      <alignment horizontal="center" vertical="top" wrapText="1"/>
      <protection hidden="1"/>
    </xf>
    <xf numFmtId="0" fontId="5" fillId="0" borderId="7" xfId="0" applyFont="1" applyBorder="1" applyAlignment="1" applyProtection="1">
      <alignment horizontal="center" vertical="top" wrapText="1"/>
      <protection hidden="1"/>
    </xf>
    <xf numFmtId="0" fontId="0" fillId="0" borderId="0" xfId="0" applyProtection="1">
      <protection hidden="1"/>
    </xf>
    <xf numFmtId="165" fontId="0" fillId="0" borderId="0" xfId="1" applyNumberFormat="1" applyFont="1" applyProtection="1">
      <protection hidden="1"/>
    </xf>
    <xf numFmtId="165" fontId="0" fillId="0" borderId="11" xfId="1" applyNumberFormat="1" applyFont="1" applyBorder="1" applyProtection="1">
      <protection hidden="1"/>
    </xf>
    <xf numFmtId="165" fontId="2" fillId="0" borderId="0" xfId="1" applyNumberFormat="1" applyFont="1" applyProtection="1">
      <protection hidden="1"/>
    </xf>
    <xf numFmtId="44" fontId="0" fillId="0" borderId="0" xfId="1" applyFont="1" applyProtection="1">
      <protection hidden="1"/>
    </xf>
    <xf numFmtId="165" fontId="1" fillId="0" borderId="0" xfId="1" applyNumberFormat="1" applyFont="1" applyProtection="1">
      <protection hidden="1"/>
    </xf>
    <xf numFmtId="0" fontId="11" fillId="17" borderId="1" xfId="0" applyFont="1" applyFill="1" applyBorder="1" applyAlignment="1" applyProtection="1">
      <alignment horizontal="center"/>
      <protection hidden="1"/>
    </xf>
    <xf numFmtId="0" fontId="0" fillId="4" borderId="0" xfId="0" applyFill="1" applyProtection="1">
      <protection hidden="1"/>
    </xf>
    <xf numFmtId="0" fontId="0" fillId="0" borderId="10" xfId="0" applyBorder="1" applyAlignment="1" applyProtection="1">
      <alignment horizontal="center"/>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165" fontId="2" fillId="0" borderId="15" xfId="1" applyNumberFormat="1" applyFont="1" applyFill="1" applyBorder="1" applyProtection="1">
      <protection locked="0"/>
    </xf>
    <xf numFmtId="0" fontId="5" fillId="0" borderId="0" xfId="0" applyFont="1"/>
    <xf numFmtId="0" fontId="17" fillId="0" borderId="0" xfId="0" applyFont="1" applyAlignment="1">
      <alignment horizontal="left" vertical="top"/>
    </xf>
    <xf numFmtId="165" fontId="0" fillId="0" borderId="0" xfId="1" applyNumberFormat="1" applyFont="1" applyFill="1"/>
    <xf numFmtId="166" fontId="0" fillId="0" borderId="0" xfId="3" applyNumberFormat="1" applyFont="1" applyFill="1"/>
    <xf numFmtId="9" fontId="0" fillId="0" borderId="0" xfId="2" applyFont="1" applyFill="1"/>
    <xf numFmtId="9" fontId="10" fillId="0" borderId="0" xfId="2" applyFont="1" applyFill="1" applyBorder="1" applyAlignment="1">
      <alignment horizontal="center" vertical="top" wrapText="1"/>
    </xf>
    <xf numFmtId="9" fontId="10" fillId="0" borderId="0" xfId="2" applyFont="1" applyFill="1" applyBorder="1" applyAlignment="1">
      <alignment vertical="top" wrapText="1"/>
    </xf>
    <xf numFmtId="9" fontId="0" fillId="0" borderId="0" xfId="0" applyNumberFormat="1"/>
    <xf numFmtId="0" fontId="18" fillId="0" borderId="12" xfId="0" applyFont="1" applyBorder="1"/>
    <xf numFmtId="0" fontId="18" fillId="0" borderId="12" xfId="0" applyFont="1" applyBorder="1" applyAlignment="1">
      <alignment horizontal="left"/>
    </xf>
    <xf numFmtId="0" fontId="19" fillId="0" borderId="12" xfId="0" applyFont="1" applyBorder="1"/>
    <xf numFmtId="0" fontId="18" fillId="0" borderId="0" xfId="0" applyFont="1"/>
    <xf numFmtId="0" fontId="18" fillId="0" borderId="0" xfId="0" applyFont="1" applyAlignment="1">
      <alignment horizontal="left"/>
    </xf>
    <xf numFmtId="0" fontId="19" fillId="0" borderId="0" xfId="0" applyFont="1"/>
    <xf numFmtId="165" fontId="1" fillId="14" borderId="18" xfId="1" applyNumberFormat="1" applyFont="1" applyFill="1" applyBorder="1" applyAlignment="1" applyProtection="1">
      <alignment horizontal="right" vertical="center"/>
      <protection locked="0"/>
    </xf>
    <xf numFmtId="165" fontId="1" fillId="14" borderId="5" xfId="1" applyNumberFormat="1" applyFont="1" applyFill="1" applyBorder="1" applyAlignment="1" applyProtection="1">
      <alignment horizontal="right" vertical="center"/>
      <protection locked="0"/>
    </xf>
    <xf numFmtId="165" fontId="1" fillId="14" borderId="1" xfId="1" applyNumberFormat="1" applyFont="1" applyFill="1" applyBorder="1" applyAlignment="1" applyProtection="1">
      <alignment horizontal="right" vertical="center"/>
      <protection locked="0"/>
    </xf>
    <xf numFmtId="0" fontId="1" fillId="14" borderId="1" xfId="1" applyNumberFormat="1" applyFont="1" applyFill="1" applyBorder="1" applyAlignment="1" applyProtection="1">
      <alignment horizontal="right" vertical="center"/>
      <protection locked="0"/>
    </xf>
    <xf numFmtId="9" fontId="3" fillId="11" borderId="18" xfId="2" applyFont="1" applyFill="1" applyBorder="1" applyAlignment="1" applyProtection="1">
      <alignment horizontal="center" vertical="center"/>
    </xf>
    <xf numFmtId="3" fontId="0" fillId="0" borderId="0" xfId="0" applyNumberFormat="1" applyAlignment="1" applyProtection="1">
      <alignment horizontal="center"/>
      <protection hidden="1"/>
    </xf>
    <xf numFmtId="0" fontId="0" fillId="3" borderId="0" xfId="0" applyFill="1" applyAlignment="1">
      <alignment horizontal="center"/>
    </xf>
    <xf numFmtId="0" fontId="0" fillId="0" borderId="0" xfId="0" applyAlignment="1">
      <alignment horizontal="left" wrapText="1"/>
    </xf>
    <xf numFmtId="44" fontId="11" fillId="9" borderId="0" xfId="1" applyFont="1" applyFill="1" applyAlignment="1" applyProtection="1">
      <alignment horizontal="center"/>
    </xf>
    <xf numFmtId="44" fontId="2" fillId="8" borderId="0" xfId="1" applyFont="1" applyFill="1" applyAlignment="1" applyProtection="1">
      <alignment horizontal="center"/>
    </xf>
    <xf numFmtId="0" fontId="11" fillId="9" borderId="1" xfId="0" applyFont="1" applyFill="1" applyBorder="1" applyAlignment="1">
      <alignment horizontal="center"/>
    </xf>
    <xf numFmtId="0" fontId="0" fillId="0" borderId="1" xfId="0" applyBorder="1" applyAlignment="1" applyProtection="1">
      <alignment horizontal="center"/>
      <protection locked="0"/>
    </xf>
    <xf numFmtId="0" fontId="2" fillId="0" borderId="13" xfId="0" applyFont="1" applyBorder="1" applyAlignment="1">
      <alignment horizontal="left"/>
    </xf>
    <xf numFmtId="0" fontId="2" fillId="0" borderId="14" xfId="0" applyFont="1" applyBorder="1" applyAlignment="1">
      <alignment horizontal="left"/>
    </xf>
    <xf numFmtId="165" fontId="2" fillId="0" borderId="14" xfId="1" applyNumberFormat="1" applyFont="1" applyFill="1" applyBorder="1" applyAlignment="1" applyProtection="1">
      <alignment horizontal="center"/>
    </xf>
    <xf numFmtId="165" fontId="2" fillId="0" borderId="15" xfId="1" applyNumberFormat="1" applyFont="1" applyFill="1" applyBorder="1" applyAlignment="1" applyProtection="1">
      <alignment horizontal="center"/>
    </xf>
    <xf numFmtId="0" fontId="11" fillId="9" borderId="27" xfId="0" applyFont="1" applyFill="1" applyBorder="1" applyAlignment="1">
      <alignment horizontal="center"/>
    </xf>
    <xf numFmtId="0" fontId="11" fillId="9" borderId="28" xfId="0" applyFont="1" applyFill="1" applyBorder="1" applyAlignment="1">
      <alignment horizontal="center"/>
    </xf>
    <xf numFmtId="0" fontId="11" fillId="9" borderId="29" xfId="0" applyFont="1" applyFill="1" applyBorder="1" applyAlignment="1">
      <alignment horizontal="center"/>
    </xf>
    <xf numFmtId="0" fontId="0" fillId="0" borderId="0" xfId="0" applyAlignment="1" applyProtection="1">
      <alignment horizontal="center"/>
      <protection hidden="1"/>
    </xf>
    <xf numFmtId="0" fontId="0" fillId="0" borderId="0" xfId="0" applyAlignment="1">
      <alignment horizontal="center"/>
    </xf>
    <xf numFmtId="0" fontId="3" fillId="0" borderId="0" xfId="0" applyFont="1" applyAlignment="1">
      <alignment horizontal="center"/>
    </xf>
    <xf numFmtId="44" fontId="1" fillId="0" borderId="6" xfId="1" applyFont="1" applyFill="1" applyBorder="1" applyAlignment="1" applyProtection="1">
      <alignment horizontal="left" vertical="center" wrapText="1"/>
      <protection locked="0"/>
    </xf>
    <xf numFmtId="44" fontId="1" fillId="0" borderId="20" xfId="1" applyFont="1" applyFill="1" applyBorder="1" applyAlignment="1" applyProtection="1">
      <alignment horizontal="left" vertical="center" wrapText="1"/>
      <protection locked="0"/>
    </xf>
    <xf numFmtId="44" fontId="1" fillId="0" borderId="5" xfId="1" applyFont="1" applyFill="1" applyBorder="1" applyAlignment="1" applyProtection="1">
      <alignment horizontal="left" vertical="center" wrapText="1"/>
      <protection locked="0"/>
    </xf>
    <xf numFmtId="164" fontId="11" fillId="15" borderId="6" xfId="1" applyNumberFormat="1" applyFont="1" applyFill="1" applyBorder="1" applyAlignment="1" applyProtection="1">
      <alignment horizontal="center" vertical="center"/>
    </xf>
    <xf numFmtId="164" fontId="11" fillId="15" borderId="20" xfId="1" applyNumberFormat="1" applyFont="1" applyFill="1" applyBorder="1" applyAlignment="1" applyProtection="1">
      <alignment horizontal="center" vertical="center"/>
    </xf>
    <xf numFmtId="164" fontId="11" fillId="15" borderId="5" xfId="1" applyNumberFormat="1" applyFont="1" applyFill="1" applyBorder="1" applyAlignment="1" applyProtection="1">
      <alignment horizontal="center" vertical="center"/>
    </xf>
    <xf numFmtId="0" fontId="0" fillId="0" borderId="6" xfId="0"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11" fillId="15" borderId="6" xfId="0" applyFont="1" applyFill="1" applyBorder="1" applyAlignment="1">
      <alignment horizontal="center" wrapText="1"/>
    </xf>
    <xf numFmtId="0" fontId="11" fillId="15" borderId="20" xfId="0" applyFont="1" applyFill="1" applyBorder="1" applyAlignment="1">
      <alignment horizontal="center"/>
    </xf>
    <xf numFmtId="0" fontId="11" fillId="15" borderId="5" xfId="0" applyFont="1" applyFill="1" applyBorder="1" applyAlignment="1">
      <alignment horizontal="center"/>
    </xf>
    <xf numFmtId="0" fontId="11" fillId="10" borderId="6" xfId="0" applyFont="1" applyFill="1" applyBorder="1" applyAlignment="1">
      <alignment horizontal="center" vertical="center"/>
    </xf>
    <xf numFmtId="0" fontId="11" fillId="10" borderId="5" xfId="0" applyFont="1" applyFill="1" applyBorder="1" applyAlignment="1">
      <alignment horizontal="center" vertical="center"/>
    </xf>
    <xf numFmtId="0" fontId="0" fillId="11" borderId="1" xfId="0" applyFill="1" applyBorder="1" applyAlignment="1">
      <alignment horizontal="left" wrapText="1"/>
    </xf>
    <xf numFmtId="0" fontId="4" fillId="6" borderId="0" xfId="0" applyFont="1" applyFill="1" applyAlignment="1">
      <alignment horizontal="center"/>
    </xf>
    <xf numFmtId="0" fontId="13" fillId="0" borderId="0" xfId="0" applyFont="1" applyAlignment="1">
      <alignment horizontal="left"/>
    </xf>
    <xf numFmtId="0" fontId="2" fillId="0" borderId="3" xfId="0" applyFont="1" applyBorder="1" applyAlignment="1">
      <alignment horizontal="right"/>
    </xf>
    <xf numFmtId="0" fontId="0" fillId="0" borderId="1" xfId="0" applyBorder="1" applyAlignment="1">
      <alignment horizontal="left" wrapText="1"/>
    </xf>
    <xf numFmtId="0" fontId="11" fillId="12" borderId="8" xfId="0" applyFont="1" applyFill="1" applyBorder="1" applyAlignment="1">
      <alignment horizontal="center" vertical="center"/>
    </xf>
    <xf numFmtId="0" fontId="11" fillId="12" borderId="12" xfId="0" applyFont="1" applyFill="1" applyBorder="1" applyAlignment="1">
      <alignment horizontal="center" vertical="center"/>
    </xf>
    <xf numFmtId="0" fontId="11" fillId="12" borderId="9" xfId="0" applyFont="1" applyFill="1" applyBorder="1" applyAlignment="1">
      <alignment horizontal="center" vertical="center"/>
    </xf>
    <xf numFmtId="0" fontId="11" fillId="12" borderId="21" xfId="0" applyFont="1" applyFill="1" applyBorder="1" applyAlignment="1">
      <alignment horizontal="center" vertical="center"/>
    </xf>
    <xf numFmtId="0" fontId="11" fillId="12" borderId="0" xfId="0" applyFont="1" applyFill="1" applyAlignment="1">
      <alignment horizontal="center" vertical="center"/>
    </xf>
    <xf numFmtId="0" fontId="11" fillId="12" borderId="22" xfId="0" applyFont="1" applyFill="1" applyBorder="1" applyAlignment="1">
      <alignment horizontal="center" vertical="center"/>
    </xf>
    <xf numFmtId="0" fontId="11" fillId="12" borderId="4" xfId="0" applyFont="1" applyFill="1" applyBorder="1" applyAlignment="1">
      <alignment horizontal="center" vertical="center"/>
    </xf>
    <xf numFmtId="0" fontId="11" fillId="12" borderId="10" xfId="0" applyFont="1" applyFill="1" applyBorder="1" applyAlignment="1">
      <alignment horizontal="center" vertical="center"/>
    </xf>
    <xf numFmtId="0" fontId="11" fillId="12" borderId="2" xfId="0" applyFont="1" applyFill="1" applyBorder="1" applyAlignment="1">
      <alignment horizontal="center" vertical="center"/>
    </xf>
    <xf numFmtId="0" fontId="12" fillId="0" borderId="0" xfId="0" applyFont="1" applyAlignment="1">
      <alignment horizontal="left" wrapText="1"/>
    </xf>
    <xf numFmtId="0" fontId="0" fillId="0" borderId="12" xfId="0" applyBorder="1" applyAlignment="1" applyProtection="1">
      <alignment horizontal="left" vertical="top"/>
      <protection hidden="1"/>
    </xf>
    <xf numFmtId="0" fontId="0" fillId="0" borderId="12" xfId="0" applyBorder="1" applyAlignment="1" applyProtection="1">
      <alignment horizontal="left"/>
      <protection hidden="1"/>
    </xf>
    <xf numFmtId="0" fontId="0" fillId="0" borderId="11" xfId="0" applyBorder="1" applyAlignment="1" applyProtection="1">
      <alignment horizontal="left" indent="1"/>
      <protection hidden="1"/>
    </xf>
    <xf numFmtId="0" fontId="0" fillId="0" borderId="23" xfId="0" applyBorder="1" applyAlignment="1" applyProtection="1">
      <alignment horizontal="right" indent="1"/>
      <protection hidden="1"/>
    </xf>
    <xf numFmtId="0" fontId="11" fillId="16" borderId="1" xfId="0" applyFont="1" applyFill="1" applyBorder="1" applyAlignment="1" applyProtection="1">
      <alignment horizontal="left"/>
      <protection hidden="1"/>
    </xf>
    <xf numFmtId="0" fontId="0" fillId="0" borderId="10" xfId="0" applyBorder="1" applyAlignment="1" applyProtection="1">
      <alignment horizontal="center"/>
      <protection hidden="1"/>
    </xf>
    <xf numFmtId="0" fontId="0" fillId="0" borderId="1" xfId="0" applyBorder="1" applyAlignment="1" applyProtection="1">
      <alignment horizontal="left" vertical="top"/>
      <protection locked="0"/>
    </xf>
    <xf numFmtId="0" fontId="11" fillId="19" borderId="1" xfId="0" applyFont="1" applyFill="1" applyBorder="1" applyAlignment="1" applyProtection="1">
      <alignment horizontal="left"/>
      <protection hidden="1"/>
    </xf>
    <xf numFmtId="0" fontId="2" fillId="0" borderId="13" xfId="0" applyFont="1" applyBorder="1" applyAlignment="1" applyProtection="1">
      <alignment horizontal="right" indent="1"/>
      <protection hidden="1"/>
    </xf>
    <xf numFmtId="0" fontId="2" fillId="0" borderId="14" xfId="0" applyFont="1" applyBorder="1" applyAlignment="1" applyProtection="1">
      <alignment horizontal="right" indent="1"/>
      <protection hidden="1"/>
    </xf>
    <xf numFmtId="0" fontId="13" fillId="0" borderId="0" xfId="0" applyFont="1" applyAlignment="1" applyProtection="1">
      <alignment horizontal="center"/>
      <protection hidden="1"/>
    </xf>
    <xf numFmtId="0" fontId="2" fillId="0" borderId="0" xfId="0" applyFont="1" applyAlignment="1" applyProtection="1">
      <alignment horizontal="center"/>
      <protection hidden="1"/>
    </xf>
    <xf numFmtId="0" fontId="14" fillId="0" borderId="0" xfId="0" applyFont="1" applyAlignment="1" applyProtection="1">
      <alignment horizontal="center" vertical="top"/>
      <protection hidden="1"/>
    </xf>
    <xf numFmtId="0" fontId="11" fillId="18" borderId="0" xfId="0" applyFont="1" applyFill="1" applyAlignment="1" applyProtection="1">
      <alignment horizontal="left"/>
      <protection hidden="1"/>
    </xf>
    <xf numFmtId="0" fontId="11" fillId="6" borderId="0" xfId="0" applyFont="1" applyFill="1" applyAlignment="1" applyProtection="1">
      <alignment horizontal="left"/>
      <protection hidden="1"/>
    </xf>
    <xf numFmtId="0" fontId="0" fillId="0" borderId="0" xfId="0" applyAlignment="1" applyProtection="1">
      <alignment horizontal="left" indent="1"/>
      <protection hidden="1"/>
    </xf>
  </cellXfs>
  <cellStyles count="4">
    <cellStyle name="Comma" xfId="3" builtinId="3"/>
    <cellStyle name="Currency" xfId="1" builtinId="4"/>
    <cellStyle name="Normal" xfId="0" builtinId="0"/>
    <cellStyle name="Percent" xfId="2" builtinId="5"/>
  </cellStyles>
  <dxfs count="132">
    <dxf>
      <font>
        <color rgb="FFFF0000"/>
      </font>
    </dxf>
    <dxf>
      <fill>
        <patternFill>
          <bgColor theme="7" tint="0.59996337778862885"/>
        </patternFill>
      </fill>
    </dxf>
    <dxf>
      <fill>
        <patternFill>
          <bgColor theme="7" tint="0.59996337778862885"/>
        </patternFill>
      </fill>
    </dxf>
    <dxf>
      <font>
        <color theme="0"/>
      </font>
    </dxf>
    <dxf>
      <fill>
        <patternFill>
          <bgColor theme="9" tint="0.59996337778862885"/>
        </patternFill>
      </fill>
    </dxf>
    <dxf>
      <fill>
        <patternFill>
          <bgColor theme="5" tint="0.39994506668294322"/>
        </patternFill>
      </fill>
    </dxf>
    <dxf>
      <fill>
        <patternFill>
          <bgColor theme="7" tint="0.59996337778862885"/>
        </patternFill>
      </fill>
    </dxf>
    <dxf>
      <font>
        <color theme="5" tint="0.79998168889431442"/>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ont>
        <color rgb="FFFF0000"/>
      </font>
      <fill>
        <patternFill>
          <bgColor rgb="FFFF0000"/>
        </patternFill>
      </fill>
    </dxf>
    <dxf>
      <font>
        <color theme="1"/>
      </font>
      <fill>
        <patternFill>
          <bgColor theme="7" tint="0.59996337778862885"/>
        </patternFill>
      </fill>
    </dxf>
    <dxf>
      <font>
        <color theme="0"/>
      </font>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ont>
        <color theme="0"/>
      </font>
    </dxf>
    <dxf>
      <font>
        <color theme="0"/>
      </font>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9" tint="0.59996337778862885"/>
        </patternFill>
      </fill>
    </dxf>
    <dxf>
      <fill>
        <patternFill>
          <bgColor theme="5" tint="0.39994506668294322"/>
        </patternFill>
      </fill>
    </dxf>
    <dxf>
      <font>
        <color theme="0"/>
      </font>
    </dxf>
    <dxf>
      <fill>
        <patternFill>
          <bgColor theme="5" tint="0.39994506668294322"/>
        </patternFill>
      </fill>
    </dxf>
    <dxf>
      <fill>
        <patternFill>
          <bgColor theme="9" tint="0.59996337778862885"/>
        </patternFill>
      </fill>
    </dxf>
    <dxf>
      <font>
        <color theme="0"/>
      </font>
    </dxf>
    <dxf>
      <font>
        <color theme="0"/>
      </font>
    </dxf>
    <dxf>
      <font>
        <color theme="0"/>
      </font>
    </dxf>
    <dxf>
      <fill>
        <patternFill>
          <bgColor theme="7" tint="0.59996337778862885"/>
        </patternFill>
      </fill>
    </dxf>
    <dxf>
      <fill>
        <patternFill>
          <bgColor rgb="FFFFFF00"/>
        </patternFill>
      </fill>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none">
          <fgColor indexed="64"/>
          <bgColor auto="1"/>
        </patternFill>
      </fill>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none">
          <fgColor indexed="64"/>
          <bgColor auto="1"/>
        </patternFill>
      </fill>
      <border diagonalUp="0" diagonalDown="0">
        <left style="medium">
          <color indexed="64"/>
        </left>
        <right style="medium">
          <color indexed="64"/>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165" formatCode="_(&quot;$&quot;* #,##0_);_(&quot;$&quot;* \(#,##0\);_(&quot;$&quot;* &quot;-&quot;??_);_(@_)"/>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rgb="FF000000"/>
        <name val="Calibri"/>
        <scheme val="minor"/>
      </font>
      <numFmt numFmtId="1" formatCode="0"/>
      <fill>
        <patternFill patternType="none">
          <fgColor indexed="64"/>
          <bgColor auto="1"/>
        </patternFill>
      </fill>
      <alignment horizontal="center" vertical="top" textRotation="0" wrapText="0" indent="0" justifyLastLine="0" shrinkToFit="1" readingOrder="0"/>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protection locked="1" hidden="0"/>
    </dxf>
    <dxf>
      <border outline="0">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alignment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auto="1"/>
        <name val="Calibri"/>
        <scheme val="minor"/>
      </font>
      <numFmt numFmtId="34" formatCode="_(&quot;$&quot;* #,##0.00_);_(&quot;$&quot;* \(#,##0.00\);_(&quot;$&quot;*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none">
          <fgColor indexed="64"/>
          <bgColor auto="1"/>
        </patternFill>
      </fill>
      <border diagonalUp="0" diagonalDown="0">
        <left style="medium">
          <color indexed="64"/>
        </left>
        <right style="medium">
          <color indexed="64"/>
        </right>
        <top/>
        <bottom/>
        <vertical/>
        <horizontal/>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numFmt numFmtId="0" formatCode="General"/>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numFmt numFmtId="0" formatCode="General"/>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Calibri"/>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auto="1"/>
        <name val="Calibri"/>
        <scheme val="minor"/>
      </font>
      <protection locked="1" hidden="0"/>
    </dxf>
    <dxf>
      <border>
        <bottom style="thin">
          <color rgb="FF000000"/>
        </bottom>
      </border>
    </dxf>
    <dxf>
      <font>
        <strike val="0"/>
        <outline val="0"/>
        <shadow val="0"/>
        <u val="none"/>
        <vertAlign val="baseline"/>
        <sz val="11"/>
        <color theme="0"/>
        <name val="Calibri"/>
        <scheme val="minor"/>
      </font>
      <alignment horizontal="center" vertical="bottom"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alignment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left style="medium">
          <color indexed="64"/>
        </left>
        <right style="medium">
          <color indexed="64"/>
        </right>
        <top/>
        <bottom/>
      </border>
      <protection locked="0"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dxf>
    <dxf>
      <font>
        <strike val="0"/>
        <outline val="0"/>
        <shadow val="0"/>
        <u val="none"/>
        <vertAlign val="baseline"/>
        <sz val="11"/>
        <color theme="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numFmt numFmtId="0" formatCode="General"/>
    </dxf>
    <dxf>
      <font>
        <strike val="0"/>
        <outline val="0"/>
        <shadow val="0"/>
        <u val="none"/>
        <vertAlign val="baseline"/>
        <sz val="11"/>
        <color theme="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numFmt numFmtId="0" formatCode="General"/>
    </dxf>
    <dxf>
      <font>
        <strike val="0"/>
        <outline val="0"/>
        <shadow val="0"/>
        <u val="none"/>
        <vertAlign val="baseline"/>
        <sz val="11"/>
        <color theme="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protection locked="1" hidden="0"/>
    </dxf>
    <dxf>
      <border>
        <bottom style="thin">
          <color indexed="64"/>
        </bottom>
      </border>
    </dxf>
    <dxf>
      <font>
        <strike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bottom/>
      </border>
      <protection locked="1" hidden="0"/>
    </dxf>
    <dxf>
      <numFmt numFmtId="166" formatCode="_(* #,##0_);_(* \(#,##0\);_(* &quot;-&quot;??_);_(@_)"/>
    </dxf>
    <dxf>
      <numFmt numFmtId="165" formatCode="_(&quot;$&quot;* #,##0_);_(&quot;$&quot;* \(#,##0\);_(&quot;$&quot;* &quot;-&quot;??_);_(@_)"/>
    </dxf>
    <dxf>
      <font>
        <b/>
        <i val="0"/>
        <strike val="0"/>
        <condense val="0"/>
        <extend val="0"/>
        <outline val="0"/>
        <shadow val="0"/>
        <u val="none"/>
        <vertAlign val="baseline"/>
        <sz val="12"/>
        <color auto="1"/>
        <name val="Arial Narrow"/>
        <scheme val="none"/>
      </font>
      <fill>
        <patternFill patternType="none">
          <fgColor indexed="64"/>
          <bgColor indexed="65"/>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B4:E93" totalsRowShown="0" headerRowDxfId="131" headerRowCellStyle="Percent">
  <autoFilter ref="B4:E93" xr:uid="{00000000-0009-0000-0100-000005000000}"/>
  <tableColumns count="4">
    <tableColumn id="1" xr3:uid="{00000000-0010-0000-0000-000001000000}" name="District"/>
    <tableColumn id="2" xr3:uid="{00000000-0010-0000-0000-000002000000}" name="Available Capacity" dataDxfId="130" dataCellStyle="Currency"/>
    <tableColumn id="3" xr3:uid="{00000000-0010-0000-0000-000003000000}" name="MEM Count" dataDxfId="129" dataCellStyle="Comma"/>
    <tableColumn id="4" xr3:uid="{00000000-0010-0000-0000-000004000000}" name="Mill Lev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6:M38" totalsRowShown="0" headerRowDxfId="128" dataDxfId="126" headerRowBorderDxfId="127" tableBorderDxfId="125" totalsRowBorderDxfId="124">
  <autoFilter ref="A6:M38" xr:uid="{00000000-0009-0000-0100-000001000000}"/>
  <tableColumns count="13">
    <tableColumn id="1" xr3:uid="{00000000-0010-0000-0100-000001000000}" name="FUND" dataDxfId="123"/>
    <tableColumn id="8" xr3:uid="{00000000-0010-0000-0100-000008000000}" name="Fund Description" dataDxfId="122">
      <calculatedColumnFormula>IF(Table1[[#This Row],[FUND]]&gt;0,VLOOKUP(Table1[[#This Row],[FUND]],'Drop Downs'!A3:B35,2,FALSE)," ")</calculatedColumnFormula>
    </tableColumn>
    <tableColumn id="13" xr3:uid="{00000000-0010-0000-0100-00000D000000}" name="FY23" dataDxfId="121" totalsRowDxfId="120" dataCellStyle="Currency"/>
    <tableColumn id="12" xr3:uid="{00000000-0010-0000-0100-00000C000000}" name="FY24" dataDxfId="119" totalsRowDxfId="118" dataCellStyle="Currency"/>
    <tableColumn id="3" xr3:uid="{00000000-0010-0000-0100-000003000000}" name="FY25" dataDxfId="117" totalsRowDxfId="116" dataCellStyle="Currency"/>
    <tableColumn id="15" xr3:uid="{00000000-0010-0000-0100-00000F000000}" name="Total Actuals" dataDxfId="115" totalsRowDxfId="114" dataCellStyle="Currency">
      <calculatedColumnFormula>SUM(Table1[[#This Row],[FY23]:[FY25]])</calculatedColumnFormula>
    </tableColumn>
    <tableColumn id="2" xr3:uid="{00000000-0010-0000-0100-000002000000}" name="FY26" dataDxfId="113" totalsRowDxfId="112" dataCellStyle="Currency"/>
    <tableColumn id="4" xr3:uid="{00000000-0010-0000-0100-000004000000}" name="FY27" dataDxfId="111" dataCellStyle="Currency"/>
    <tableColumn id="5" xr3:uid="{00000000-0010-0000-0100-000005000000}" name="FY28" dataDxfId="110" totalsRowDxfId="109" dataCellStyle="Currency"/>
    <tableColumn id="6" xr3:uid="{00000000-0010-0000-0100-000006000000}" name="FY29" dataDxfId="108" totalsRowDxfId="107" dataCellStyle="Currency"/>
    <tableColumn id="7" xr3:uid="{00000000-0010-0000-0100-000007000000}" name="FY30" dataDxfId="106" totalsRowDxfId="105" dataCellStyle="Currency"/>
    <tableColumn id="10" xr3:uid="{00000000-0010-0000-0100-00000A000000}" name="Total Estimate" dataDxfId="104" totalsRowDxfId="103" dataCellStyle="Currency">
      <calculatedColumnFormula>SUM(Table1[[#This Row],[FY27]:[FY30]])</calculatedColumnFormula>
    </tableColumn>
    <tableColumn id="11" xr3:uid="{00000000-0010-0000-0100-00000B000000}" name="COMMENTS (Not Printed)" dataDxfId="102" totalsRowDxfId="101"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A6:M38" totalsRowShown="0" headerRowDxfId="100" dataDxfId="98" headerRowBorderDxfId="99" tableBorderDxfId="97" totalsRowBorderDxfId="96">
  <autoFilter ref="A6:M38" xr:uid="{00000000-0009-0000-0100-000002000000}"/>
  <tableColumns count="13">
    <tableColumn id="1" xr3:uid="{00000000-0010-0000-0200-000001000000}" name="FUND" dataDxfId="95"/>
    <tableColumn id="8" xr3:uid="{00000000-0010-0000-0200-000008000000}" name="Fund Description" dataDxfId="94">
      <calculatedColumnFormula>IF(Table13[[#This Row],[FUND]]&gt;0,VLOOKUP(Table13[[#This Row],[FUND]],'Drop Downs'!A3:B35,2,FALSE), " ")</calculatedColumnFormula>
    </tableColumn>
    <tableColumn id="13" xr3:uid="{00000000-0010-0000-0200-00000D000000}" name="FY23" dataDxfId="93" totalsRowDxfId="92" dataCellStyle="Currency"/>
    <tableColumn id="12" xr3:uid="{00000000-0010-0000-0200-00000C000000}" name="FY24" dataDxfId="91" totalsRowDxfId="90" dataCellStyle="Currency"/>
    <tableColumn id="3" xr3:uid="{00000000-0010-0000-0200-000003000000}" name="FY25" dataDxfId="89" totalsRowDxfId="88" dataCellStyle="Currency"/>
    <tableColumn id="15" xr3:uid="{00000000-0010-0000-0200-00000F000000}" name="Total Actuals" dataDxfId="87" totalsRowDxfId="86" dataCellStyle="Currency">
      <calculatedColumnFormula>SUM(Table13[[#This Row],[FY23]:[FY25]])</calculatedColumnFormula>
    </tableColumn>
    <tableColumn id="2" xr3:uid="{00000000-0010-0000-0200-000002000000}" name="FY26" dataDxfId="85" totalsRowDxfId="84" dataCellStyle="Currency"/>
    <tableColumn id="4" xr3:uid="{00000000-0010-0000-0200-000004000000}" name="FY27" dataDxfId="83" totalsRowDxfId="82" dataCellStyle="Currency"/>
    <tableColumn id="5" xr3:uid="{00000000-0010-0000-0200-000005000000}" name="FY28" dataDxfId="81" totalsRowDxfId="80" dataCellStyle="Currency"/>
    <tableColumn id="6" xr3:uid="{00000000-0010-0000-0200-000006000000}" name="FY29" dataDxfId="79" totalsRowDxfId="78" dataCellStyle="Currency"/>
    <tableColumn id="7" xr3:uid="{00000000-0010-0000-0200-000007000000}" name="FY30" dataDxfId="77" totalsRowDxfId="76" dataCellStyle="Currency"/>
    <tableColumn id="10" xr3:uid="{00000000-0010-0000-0200-00000A000000}" name="Total Estimate" dataDxfId="75" totalsRowDxfId="74" dataCellStyle="Currency">
      <calculatedColumnFormula>SUM(Table13[[#This Row],[FY27]:[FY30]])</calculatedColumnFormula>
    </tableColumn>
    <tableColumn id="11" xr3:uid="{00000000-0010-0000-0200-00000B000000}" name="COMMENTS (Not Printed)" dataDxfId="73" totalsRowDxfId="72" dataCellStyle="Currency"/>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7:M12" totalsRowShown="0" headerRowDxfId="71" dataDxfId="69" headerRowBorderDxfId="70" tableBorderDxfId="68" totalsRowBorderDxfId="67" dataCellStyle="Currency">
  <autoFilter ref="A7:M12" xr:uid="{00000000-0009-0000-0100-000004000000}"/>
  <tableColumns count="13">
    <tableColumn id="1" xr3:uid="{00000000-0010-0000-0300-000001000000}" name="FUND" dataDxfId="66"/>
    <tableColumn id="2" xr3:uid="{00000000-0010-0000-0300-000002000000}" name="Fund Description" dataDxfId="65">
      <calculatedColumnFormula>VLOOKUP(A8,'Drop Downs'!A3:B35,2,FALSE)</calculatedColumnFormula>
    </tableColumn>
    <tableColumn id="3" xr3:uid="{00000000-0010-0000-0300-000003000000}" name="Current_x000a_Resident Mills" dataDxfId="64"/>
    <tableColumn id="4" xr3:uid="{00000000-0010-0000-0300-000004000000}" name="FY23" dataDxfId="63" dataCellStyle="Currency"/>
    <tableColumn id="5" xr3:uid="{00000000-0010-0000-0300-000005000000}" name="FY24" dataDxfId="62" dataCellStyle="Currency"/>
    <tableColumn id="6" xr3:uid="{00000000-0010-0000-0300-000006000000}" name="FY25" dataDxfId="61" dataCellStyle="Currency"/>
    <tableColumn id="7" xr3:uid="{00000000-0010-0000-0300-000007000000}" name="Total Actuals" dataDxfId="60" dataCellStyle="Currency"/>
    <tableColumn id="8" xr3:uid="{00000000-0010-0000-0300-000008000000}" name="FY26" dataDxfId="59" dataCellStyle="Currency"/>
    <tableColumn id="9" xr3:uid="{00000000-0010-0000-0300-000009000000}" name="FY27" dataDxfId="58" dataCellStyle="Currency"/>
    <tableColumn id="10" xr3:uid="{00000000-0010-0000-0300-00000A000000}" name="FY28" dataDxfId="57" dataCellStyle="Currency"/>
    <tableColumn id="11" xr3:uid="{00000000-0010-0000-0300-00000B000000}" name="FY29" dataDxfId="56" dataCellStyle="Currency"/>
    <tableColumn id="12" xr3:uid="{00000000-0010-0000-0300-00000C000000}" name="FY30" dataDxfId="55" dataCellStyle="Currency"/>
    <tableColumn id="13" xr3:uid="{00000000-0010-0000-0300-00000D000000}" name="Comments (Not Printed)" dataDxfId="54" dataCellStyle="Currenc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 displayName="Table3" ref="A1:K34" totalsRowShown="0" headerRowDxfId="53" headerRowBorderDxfId="52" tableBorderDxfId="51" totalsRowBorderDxfId="50">
  <autoFilter ref="A1:K34" xr:uid="{00000000-0009-0000-0100-000003000000}"/>
  <tableColumns count="11">
    <tableColumn id="1" xr3:uid="{00000000-0010-0000-0400-000001000000}" name="Fund" dataDxfId="49"/>
    <tableColumn id="2" xr3:uid="{00000000-0010-0000-0400-000002000000}" name="Description" dataDxfId="48"/>
    <tableColumn id="3" xr3:uid="{00000000-0010-0000-0400-000003000000}" name="Historical - Actuals_x000a_Sources Detail" dataDxfId="47" dataCellStyle="Currency">
      <calculatedColumnFormula>SUMIFS(Table1[Total Actuals],Table1[FUND],Rollup!A2)</calculatedColumnFormula>
    </tableColumn>
    <tableColumn id="4" xr3:uid="{00000000-0010-0000-0400-000004000000}" name="Historical - Actuals_x000a_Uses Detail" dataDxfId="46" dataCellStyle="Currency">
      <calculatedColumnFormula>SUMIFS(Table13[Total Actuals],Table13[FUND],Rollup!A2)</calculatedColumnFormula>
    </tableColumn>
    <tableColumn id="5" xr3:uid="{00000000-0010-0000-0400-000005000000}" name="Historical - Actuals_x000a_Remaining" dataDxfId="45" dataCellStyle="Currency">
      <calculatedColumnFormula>C2-D2</calculatedColumnFormula>
    </tableColumn>
    <tableColumn id="6" xr3:uid="{00000000-0010-0000-0400-000006000000}" name="Current_x000a_Sources Detail" dataDxfId="44" dataCellStyle="Currency">
      <calculatedColumnFormula>SUMIFS(Table1[FY26],Table1[FUND],Rollup!A2)</calculatedColumnFormula>
    </tableColumn>
    <tableColumn id="7" xr3:uid="{00000000-0010-0000-0400-000007000000}" name="Current_x000a_Uses Detail" dataDxfId="43" dataCellStyle="Currency">
      <calculatedColumnFormula>SUMIFS(Table13[FY26],Table13[FUND],Rollup!A2)</calculatedColumnFormula>
    </tableColumn>
    <tableColumn id="8" xr3:uid="{00000000-0010-0000-0400-000008000000}" name="Current_x000a_Remaining" dataDxfId="42" dataCellStyle="Currency">
      <calculatedColumnFormula>F2-G2</calculatedColumnFormula>
    </tableColumn>
    <tableColumn id="9" xr3:uid="{00000000-0010-0000-0400-000009000000}" name="Projected _x000a_Sources Detail" dataDxfId="41" dataCellStyle="Currency">
      <calculatedColumnFormula>SUMIFS(Table1[Total Estimate],Table1[FUND],Rollup!A2)</calculatedColumnFormula>
    </tableColumn>
    <tableColumn id="10" xr3:uid="{00000000-0010-0000-0400-00000A000000}" name="Projected_x000a_Uses Detail" dataDxfId="40" dataCellStyle="Currency">
      <calculatedColumnFormula>SUMIFS(Table13[Total Estimate],Table13[FUND],Rollup!A2)</calculatedColumnFormula>
    </tableColumn>
    <tableColumn id="11" xr3:uid="{00000000-0010-0000-0400-00000B000000}" name="Projected_x000a_Remaining" dataDxfId="39" dataCellStyle="Currency">
      <calculatedColumnFormula>I2-J2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1"/>
  <sheetViews>
    <sheetView workbookViewId="0">
      <selection sqref="A1:B1"/>
    </sheetView>
  </sheetViews>
  <sheetFormatPr defaultColWidth="8.85546875" defaultRowHeight="15" x14ac:dyDescent="0.25"/>
  <cols>
    <col min="1" max="1" width="6" bestFit="1" customWidth="1"/>
    <col min="2" max="2" width="31.42578125" bestFit="1" customWidth="1"/>
    <col min="5" max="5" width="44.42578125" bestFit="1" customWidth="1"/>
    <col min="6" max="6" width="13.28515625" bestFit="1" customWidth="1"/>
    <col min="7" max="7" width="13.7109375" style="6" customWidth="1"/>
  </cols>
  <sheetData>
    <row r="1" spans="1:9" ht="14.45" x14ac:dyDescent="0.35">
      <c r="A1" s="214" t="s">
        <v>69</v>
      </c>
      <c r="B1" s="214"/>
      <c r="E1" s="214" t="s">
        <v>138</v>
      </c>
      <c r="F1" s="214"/>
      <c r="G1" s="214"/>
    </row>
    <row r="2" spans="1:9" s="14" customFormat="1" ht="29.1" x14ac:dyDescent="0.35">
      <c r="A2" s="15" t="s">
        <v>11</v>
      </c>
      <c r="B2" s="15" t="s">
        <v>12</v>
      </c>
      <c r="E2" s="15" t="s">
        <v>70</v>
      </c>
      <c r="F2" s="16" t="s">
        <v>71</v>
      </c>
      <c r="G2" s="16" t="s">
        <v>72</v>
      </c>
    </row>
    <row r="3" spans="1:9" ht="14.45" x14ac:dyDescent="0.35">
      <c r="A3">
        <v>11000</v>
      </c>
      <c r="B3" t="s">
        <v>1</v>
      </c>
      <c r="E3" t="s">
        <v>73</v>
      </c>
      <c r="F3" s="17">
        <v>0.48800921013688425</v>
      </c>
      <c r="G3" s="18">
        <v>0.51199078986311575</v>
      </c>
      <c r="I3" s="201"/>
    </row>
    <row r="4" spans="1:9" ht="14.45" x14ac:dyDescent="0.35">
      <c r="A4">
        <v>12000</v>
      </c>
      <c r="B4" t="s">
        <v>13</v>
      </c>
      <c r="E4" t="s">
        <v>74</v>
      </c>
      <c r="F4" s="17">
        <v>0.62666666666666659</v>
      </c>
      <c r="G4" s="18">
        <v>0.37333333333333341</v>
      </c>
      <c r="I4" s="201"/>
    </row>
    <row r="5" spans="1:9" ht="14.45" x14ac:dyDescent="0.35">
      <c r="A5">
        <v>13000</v>
      </c>
      <c r="B5" t="s">
        <v>14</v>
      </c>
      <c r="E5" t="s">
        <v>75</v>
      </c>
      <c r="F5" s="17">
        <v>0.22305814262240597</v>
      </c>
      <c r="G5" s="18">
        <v>0.77694185737759403</v>
      </c>
      <c r="I5" s="201"/>
    </row>
    <row r="6" spans="1:9" ht="14.45" x14ac:dyDescent="0.35">
      <c r="A6">
        <v>14000</v>
      </c>
      <c r="B6" t="s">
        <v>15</v>
      </c>
      <c r="E6" t="s">
        <v>76</v>
      </c>
      <c r="F6" s="17">
        <v>0.62666666666666659</v>
      </c>
      <c r="G6" s="18">
        <v>0.37333333333333341</v>
      </c>
      <c r="I6" s="201"/>
    </row>
    <row r="7" spans="1:9" ht="14.45" x14ac:dyDescent="0.35">
      <c r="A7">
        <v>15100</v>
      </c>
      <c r="B7" t="s">
        <v>16</v>
      </c>
      <c r="E7" t="s">
        <v>201</v>
      </c>
      <c r="F7" s="17">
        <v>0.62666666666666659</v>
      </c>
      <c r="G7" s="18">
        <v>0.37333333333333341</v>
      </c>
      <c r="I7" s="201"/>
    </row>
    <row r="8" spans="1:9" ht="14.45" x14ac:dyDescent="0.35">
      <c r="A8">
        <v>15200</v>
      </c>
      <c r="B8" t="s">
        <v>17</v>
      </c>
      <c r="E8" t="s">
        <v>77</v>
      </c>
      <c r="F8" s="17">
        <v>0.55757491372762935</v>
      </c>
      <c r="G8" s="18">
        <v>0.44242508627237065</v>
      </c>
      <c r="I8" s="201"/>
    </row>
    <row r="9" spans="1:9" ht="14.45" x14ac:dyDescent="0.35">
      <c r="A9">
        <v>21000</v>
      </c>
      <c r="B9" t="s">
        <v>18</v>
      </c>
      <c r="E9" t="s">
        <v>78</v>
      </c>
      <c r="F9" s="17">
        <v>0.62666666666666659</v>
      </c>
      <c r="G9" s="18">
        <v>0.37333333333333341</v>
      </c>
      <c r="I9" s="201"/>
    </row>
    <row r="10" spans="1:9" ht="14.45" x14ac:dyDescent="0.35">
      <c r="A10">
        <v>22000</v>
      </c>
      <c r="B10" t="s">
        <v>19</v>
      </c>
      <c r="E10" t="s">
        <v>202</v>
      </c>
      <c r="F10" s="17">
        <v>0.62666666666666659</v>
      </c>
      <c r="G10" s="18">
        <v>0.37333333333333341</v>
      </c>
      <c r="I10" s="201"/>
    </row>
    <row r="11" spans="1:9" ht="14.45" x14ac:dyDescent="0.35">
      <c r="A11">
        <v>23000</v>
      </c>
      <c r="B11" t="s">
        <v>20</v>
      </c>
      <c r="E11" t="s">
        <v>79</v>
      </c>
      <c r="F11" s="17">
        <v>0.62666666666666659</v>
      </c>
      <c r="G11" s="18">
        <v>0.37333333333333341</v>
      </c>
      <c r="I11" s="201"/>
    </row>
    <row r="12" spans="1:9" ht="14.45" x14ac:dyDescent="0.35">
      <c r="A12">
        <v>24000</v>
      </c>
      <c r="B12" t="s">
        <v>21</v>
      </c>
      <c r="E12" t="s">
        <v>80</v>
      </c>
      <c r="F12" s="17">
        <v>0.62666666666666659</v>
      </c>
      <c r="G12" s="18">
        <v>0.37333333333333341</v>
      </c>
      <c r="I12" s="201"/>
    </row>
    <row r="13" spans="1:9" ht="14.45" x14ac:dyDescent="0.35">
      <c r="A13">
        <v>25000</v>
      </c>
      <c r="B13" t="s">
        <v>22</v>
      </c>
      <c r="E13" t="s">
        <v>203</v>
      </c>
      <c r="F13" s="17">
        <v>0.47</v>
      </c>
      <c r="G13" s="18">
        <v>0.53</v>
      </c>
      <c r="I13" s="201"/>
    </row>
    <row r="14" spans="1:9" ht="14.45" x14ac:dyDescent="0.35">
      <c r="A14">
        <v>26000</v>
      </c>
      <c r="B14" t="s">
        <v>23</v>
      </c>
      <c r="E14" t="s">
        <v>204</v>
      </c>
      <c r="F14" s="17">
        <v>0.4001437688457069</v>
      </c>
      <c r="G14" s="18">
        <v>0.5998562311542931</v>
      </c>
      <c r="I14" s="201"/>
    </row>
    <row r="15" spans="1:9" ht="14.45" x14ac:dyDescent="0.35">
      <c r="A15">
        <v>27000</v>
      </c>
      <c r="B15" t="s">
        <v>24</v>
      </c>
      <c r="E15" t="s">
        <v>205</v>
      </c>
      <c r="F15" s="17">
        <v>0.62666666666666659</v>
      </c>
      <c r="G15" s="18">
        <v>0.37333333333333341</v>
      </c>
      <c r="I15" s="201"/>
    </row>
    <row r="16" spans="1:9" ht="14.45" x14ac:dyDescent="0.35">
      <c r="A16">
        <v>28000</v>
      </c>
      <c r="B16" t="s">
        <v>25</v>
      </c>
      <c r="E16" t="s">
        <v>81</v>
      </c>
      <c r="F16" s="17">
        <v>0.62666666666666659</v>
      </c>
      <c r="G16" s="18">
        <v>0.37333333333333341</v>
      </c>
      <c r="I16" s="201"/>
    </row>
    <row r="17" spans="1:9" ht="14.45" x14ac:dyDescent="0.35">
      <c r="A17">
        <v>29000</v>
      </c>
      <c r="B17" t="s">
        <v>26</v>
      </c>
      <c r="E17" t="s">
        <v>82</v>
      </c>
      <c r="F17" s="17">
        <v>0.62666666666666659</v>
      </c>
      <c r="G17" s="18">
        <v>0.37333333333333341</v>
      </c>
      <c r="I17" s="201"/>
    </row>
    <row r="18" spans="1:9" ht="14.45" x14ac:dyDescent="0.35">
      <c r="A18">
        <v>31100</v>
      </c>
      <c r="B18" t="s">
        <v>27</v>
      </c>
      <c r="E18" t="s">
        <v>83</v>
      </c>
      <c r="F18" s="17">
        <v>0.62666666666666659</v>
      </c>
      <c r="G18" s="18">
        <v>0.37333333333333341</v>
      </c>
      <c r="I18" s="201"/>
    </row>
    <row r="19" spans="1:9" ht="14.45" x14ac:dyDescent="0.35">
      <c r="A19">
        <v>31200</v>
      </c>
      <c r="B19" t="s">
        <v>28</v>
      </c>
      <c r="E19" t="s">
        <v>84</v>
      </c>
      <c r="F19" s="17">
        <v>0.38545617480142891</v>
      </c>
      <c r="G19" s="18">
        <v>0.61454382519857109</v>
      </c>
      <c r="I19" s="201"/>
    </row>
    <row r="20" spans="1:9" x14ac:dyDescent="0.25">
      <c r="A20">
        <v>31300</v>
      </c>
      <c r="B20" t="s">
        <v>29</v>
      </c>
      <c r="E20" t="s">
        <v>206</v>
      </c>
      <c r="F20" s="17">
        <v>0.48485948651302369</v>
      </c>
      <c r="G20" s="18">
        <v>0.51514051348697631</v>
      </c>
      <c r="I20" s="201"/>
    </row>
    <row r="21" spans="1:9" x14ac:dyDescent="0.25">
      <c r="A21">
        <v>31400</v>
      </c>
      <c r="B21" t="s">
        <v>30</v>
      </c>
      <c r="E21" t="s">
        <v>207</v>
      </c>
      <c r="F21" s="17">
        <v>0.47</v>
      </c>
      <c r="G21" s="18">
        <v>0.53</v>
      </c>
      <c r="I21" s="201"/>
    </row>
    <row r="22" spans="1:9" x14ac:dyDescent="0.25">
      <c r="A22">
        <v>31500</v>
      </c>
      <c r="B22" t="s">
        <v>31</v>
      </c>
      <c r="E22" t="s">
        <v>208</v>
      </c>
      <c r="F22" s="17">
        <v>0.62666666666666659</v>
      </c>
      <c r="G22" s="18">
        <v>0.37333333333333341</v>
      </c>
      <c r="I22" s="201"/>
    </row>
    <row r="23" spans="1:9" x14ac:dyDescent="0.25">
      <c r="A23">
        <v>31600</v>
      </c>
      <c r="B23" t="s">
        <v>32</v>
      </c>
      <c r="E23" t="s">
        <v>85</v>
      </c>
      <c r="F23" s="17">
        <v>0.31725018309047692</v>
      </c>
      <c r="G23" s="18">
        <v>0.68274981690952308</v>
      </c>
      <c r="I23" s="201"/>
    </row>
    <row r="24" spans="1:9" ht="14.45" x14ac:dyDescent="0.35">
      <c r="A24">
        <v>31700</v>
      </c>
      <c r="B24" t="s">
        <v>33</v>
      </c>
      <c r="E24" t="s">
        <v>86</v>
      </c>
      <c r="F24" s="17">
        <v>0.33197361812026244</v>
      </c>
      <c r="G24" s="18">
        <v>0.66802638187973762</v>
      </c>
      <c r="I24" s="201"/>
    </row>
    <row r="25" spans="1:9" x14ac:dyDescent="0.25">
      <c r="A25">
        <v>31701</v>
      </c>
      <c r="B25" t="s">
        <v>34</v>
      </c>
      <c r="E25" t="s">
        <v>87</v>
      </c>
      <c r="F25" s="17">
        <v>0.17990353579407886</v>
      </c>
      <c r="G25" s="18">
        <v>0.82009646420592119</v>
      </c>
      <c r="I25" s="201"/>
    </row>
    <row r="26" spans="1:9" ht="14.45" x14ac:dyDescent="0.35">
      <c r="A26">
        <v>31703</v>
      </c>
      <c r="B26" t="s">
        <v>35</v>
      </c>
      <c r="E26" t="s">
        <v>88</v>
      </c>
      <c r="F26" s="17">
        <v>0.62666666666666659</v>
      </c>
      <c r="G26" s="18">
        <v>0.37333333333333341</v>
      </c>
      <c r="I26" s="201"/>
    </row>
    <row r="27" spans="1:9" ht="14.45" x14ac:dyDescent="0.35">
      <c r="A27">
        <v>31800</v>
      </c>
      <c r="B27" t="s">
        <v>36</v>
      </c>
      <c r="E27" t="s">
        <v>89</v>
      </c>
      <c r="F27" s="17">
        <v>0.62666666666666659</v>
      </c>
      <c r="G27" s="18">
        <v>0.37333333333333341</v>
      </c>
      <c r="I27" s="201"/>
    </row>
    <row r="28" spans="1:9" ht="14.45" x14ac:dyDescent="0.35">
      <c r="A28">
        <v>31900</v>
      </c>
      <c r="B28" t="s">
        <v>37</v>
      </c>
      <c r="E28" t="s">
        <v>90</v>
      </c>
      <c r="F28" s="17">
        <v>0.17880741387079996</v>
      </c>
      <c r="G28" s="18">
        <v>0.82119258612919999</v>
      </c>
      <c r="I28" s="201"/>
    </row>
    <row r="29" spans="1:9" ht="14.45" x14ac:dyDescent="0.35">
      <c r="A29">
        <v>32100</v>
      </c>
      <c r="B29" t="s">
        <v>38</v>
      </c>
      <c r="E29" t="s">
        <v>91</v>
      </c>
      <c r="F29" s="17">
        <v>0.62666666666666659</v>
      </c>
      <c r="G29" s="18">
        <v>0.37333333333333341</v>
      </c>
      <c r="I29" s="201"/>
    </row>
    <row r="30" spans="1:9" ht="14.45" x14ac:dyDescent="0.35">
      <c r="A30">
        <v>41000</v>
      </c>
      <c r="B30" t="s">
        <v>226</v>
      </c>
      <c r="E30" t="s">
        <v>209</v>
      </c>
      <c r="F30" s="17">
        <v>0.50748511657451489</v>
      </c>
      <c r="G30" s="18">
        <v>0.49251488342548511</v>
      </c>
      <c r="I30" s="201"/>
    </row>
    <row r="31" spans="1:9" ht="14.45" x14ac:dyDescent="0.35">
      <c r="A31">
        <v>41200</v>
      </c>
      <c r="B31" t="s">
        <v>40</v>
      </c>
      <c r="E31" t="s">
        <v>92</v>
      </c>
      <c r="F31" s="17">
        <v>0.62666666666666659</v>
      </c>
      <c r="G31" s="18">
        <v>0.37333333333333341</v>
      </c>
      <c r="I31" s="201"/>
    </row>
    <row r="32" spans="1:9" ht="14.45" x14ac:dyDescent="0.35">
      <c r="A32">
        <v>41800</v>
      </c>
      <c r="B32" t="s">
        <v>41</v>
      </c>
      <c r="E32" t="s">
        <v>93</v>
      </c>
      <c r="F32" s="17">
        <v>0.50138896234234909</v>
      </c>
      <c r="G32" s="18">
        <v>0.49861103765765091</v>
      </c>
      <c r="I32" s="201"/>
    </row>
    <row r="33" spans="1:9" ht="14.45" x14ac:dyDescent="0.35">
      <c r="A33">
        <v>42000</v>
      </c>
      <c r="B33" t="s">
        <v>42</v>
      </c>
      <c r="E33" t="s">
        <v>94</v>
      </c>
      <c r="F33" s="17">
        <v>0.13460842182388616</v>
      </c>
      <c r="G33" s="18">
        <v>0.8653915781761139</v>
      </c>
      <c r="I33" s="201"/>
    </row>
    <row r="34" spans="1:9" ht="14.45" x14ac:dyDescent="0.35">
      <c r="A34">
        <v>43000</v>
      </c>
      <c r="B34" t="s">
        <v>43</v>
      </c>
      <c r="E34" t="s">
        <v>95</v>
      </c>
      <c r="F34" s="17">
        <v>0.62666666666666659</v>
      </c>
      <c r="G34" s="18">
        <v>0.37333333333333341</v>
      </c>
      <c r="I34" s="201"/>
    </row>
    <row r="35" spans="1:9" ht="14.45" x14ac:dyDescent="0.35">
      <c r="A35">
        <v>60000</v>
      </c>
      <c r="B35" t="s">
        <v>44</v>
      </c>
      <c r="E35" t="s">
        <v>210</v>
      </c>
      <c r="F35" s="17">
        <v>0.31588512250227929</v>
      </c>
      <c r="G35" s="18">
        <v>0.68411487749772071</v>
      </c>
      <c r="I35" s="201"/>
    </row>
    <row r="36" spans="1:9" ht="14.45" x14ac:dyDescent="0.35">
      <c r="E36" t="s">
        <v>211</v>
      </c>
      <c r="F36" s="17">
        <v>0.10832932468377095</v>
      </c>
      <c r="G36" s="18">
        <v>0.89167067531622901</v>
      </c>
      <c r="I36" s="201"/>
    </row>
    <row r="37" spans="1:9" x14ac:dyDescent="0.25">
      <c r="E37" t="s">
        <v>96</v>
      </c>
      <c r="F37" s="17">
        <v>2.1933247621870211E-2</v>
      </c>
      <c r="G37" s="18">
        <v>0.97806675237812979</v>
      </c>
      <c r="I37" s="201"/>
    </row>
    <row r="38" spans="1:9" x14ac:dyDescent="0.25">
      <c r="E38" t="s">
        <v>212</v>
      </c>
      <c r="F38" s="17">
        <v>0.24412994644943137</v>
      </c>
      <c r="G38" s="18">
        <v>0.75587005355056869</v>
      </c>
      <c r="I38" s="201"/>
    </row>
    <row r="39" spans="1:9" x14ac:dyDescent="0.25">
      <c r="E39" t="s">
        <v>97</v>
      </c>
      <c r="F39" s="17">
        <v>0.26390590437863615</v>
      </c>
      <c r="G39" s="18">
        <v>0.73609409562136385</v>
      </c>
      <c r="I39" s="201"/>
    </row>
    <row r="40" spans="1:9" x14ac:dyDescent="0.25">
      <c r="E40" t="s">
        <v>98</v>
      </c>
      <c r="F40" s="17">
        <v>0.11619793929191376</v>
      </c>
      <c r="G40" s="18">
        <v>0.8838020607080862</v>
      </c>
      <c r="I40" s="201"/>
    </row>
    <row r="41" spans="1:9" x14ac:dyDescent="0.25">
      <c r="E41" t="s">
        <v>99</v>
      </c>
      <c r="F41" s="17">
        <v>0.62666666666666659</v>
      </c>
      <c r="G41" s="18">
        <v>0.37333333333333341</v>
      </c>
      <c r="I41" s="201"/>
    </row>
    <row r="42" spans="1:9" x14ac:dyDescent="0.25">
      <c r="E42" t="s">
        <v>100</v>
      </c>
      <c r="F42" s="17">
        <v>0.34405234675676005</v>
      </c>
      <c r="G42" s="18">
        <v>0.65594765324324</v>
      </c>
      <c r="I42" s="201"/>
    </row>
    <row r="43" spans="1:9" x14ac:dyDescent="0.25">
      <c r="E43" t="s">
        <v>101</v>
      </c>
      <c r="F43" s="17">
        <v>0.18024726537576002</v>
      </c>
      <c r="G43" s="18">
        <v>0.81975273462423992</v>
      </c>
      <c r="I43" s="201"/>
    </row>
    <row r="44" spans="1:9" x14ac:dyDescent="0.25">
      <c r="E44" t="s">
        <v>102</v>
      </c>
      <c r="F44" s="17">
        <v>0.62666666666666659</v>
      </c>
      <c r="G44" s="18">
        <v>0.37333333333333341</v>
      </c>
      <c r="I44" s="201"/>
    </row>
    <row r="45" spans="1:9" x14ac:dyDescent="0.25">
      <c r="E45" t="s">
        <v>103</v>
      </c>
      <c r="F45" s="17">
        <v>0.47</v>
      </c>
      <c r="G45" s="18">
        <v>0.53</v>
      </c>
      <c r="I45" s="201"/>
    </row>
    <row r="46" spans="1:9" x14ac:dyDescent="0.25">
      <c r="E46" t="s">
        <v>104</v>
      </c>
      <c r="F46" s="17">
        <v>0.62666666666666659</v>
      </c>
      <c r="G46" s="18">
        <v>0.37333333333333341</v>
      </c>
      <c r="I46" s="201"/>
    </row>
    <row r="47" spans="1:9" x14ac:dyDescent="0.25">
      <c r="E47" t="s">
        <v>105</v>
      </c>
      <c r="F47" s="17">
        <v>0.47</v>
      </c>
      <c r="G47" s="18">
        <v>0.53</v>
      </c>
      <c r="I47" s="201"/>
    </row>
    <row r="48" spans="1:9" x14ac:dyDescent="0.25">
      <c r="E48" t="s">
        <v>106</v>
      </c>
      <c r="F48" s="17">
        <v>0.57871704354549536</v>
      </c>
      <c r="G48" s="18">
        <v>0.42128295645450464</v>
      </c>
      <c r="I48" s="201"/>
    </row>
    <row r="49" spans="5:9" x14ac:dyDescent="0.25">
      <c r="E49" t="s">
        <v>213</v>
      </c>
      <c r="F49" s="17">
        <v>0.62666666666666659</v>
      </c>
      <c r="G49" s="18">
        <v>0.37333333333333341</v>
      </c>
      <c r="I49" s="201"/>
    </row>
    <row r="50" spans="5:9" x14ac:dyDescent="0.25">
      <c r="E50" t="s">
        <v>224</v>
      </c>
      <c r="F50" s="17">
        <v>0.47</v>
      </c>
      <c r="G50" s="18">
        <v>0.75395623581372384</v>
      </c>
      <c r="I50" s="201"/>
    </row>
    <row r="51" spans="5:9" x14ac:dyDescent="0.25">
      <c r="E51" t="s">
        <v>107</v>
      </c>
      <c r="F51" s="17">
        <v>0.24604376418627619</v>
      </c>
      <c r="G51" s="18">
        <v>0.37333333333333341</v>
      </c>
      <c r="I51" s="201"/>
    </row>
    <row r="52" spans="5:9" x14ac:dyDescent="0.25">
      <c r="E52" t="s">
        <v>108</v>
      </c>
      <c r="F52" s="17">
        <v>0.62666666666666659</v>
      </c>
      <c r="G52" s="18">
        <v>0.37333333333333341</v>
      </c>
      <c r="I52" s="201"/>
    </row>
    <row r="53" spans="5:9" x14ac:dyDescent="0.25">
      <c r="E53" t="s">
        <v>137</v>
      </c>
      <c r="F53" s="17">
        <v>0.62666666666666659</v>
      </c>
      <c r="G53" s="18">
        <v>0.37333333333333341</v>
      </c>
      <c r="I53" s="201"/>
    </row>
    <row r="54" spans="5:9" x14ac:dyDescent="0.25">
      <c r="E54" t="s">
        <v>214</v>
      </c>
      <c r="F54" s="17">
        <v>0.62666666666666659</v>
      </c>
      <c r="G54" s="18">
        <v>0.57975402429276246</v>
      </c>
      <c r="I54" s="201"/>
    </row>
    <row r="55" spans="5:9" x14ac:dyDescent="0.25">
      <c r="E55" t="s">
        <v>109</v>
      </c>
      <c r="F55" s="17">
        <v>0.42024597570723754</v>
      </c>
      <c r="G55" s="18">
        <v>0.37333333333333341</v>
      </c>
      <c r="I55" s="201"/>
    </row>
    <row r="56" spans="5:9" x14ac:dyDescent="0.25">
      <c r="E56" t="s">
        <v>215</v>
      </c>
      <c r="F56" s="17">
        <v>0.62666666666666659</v>
      </c>
      <c r="G56" s="18">
        <v>0.39792416671278041</v>
      </c>
      <c r="I56" s="201"/>
    </row>
    <row r="57" spans="5:9" x14ac:dyDescent="0.25">
      <c r="E57" t="s">
        <v>110</v>
      </c>
      <c r="F57" s="17">
        <v>0.60207583328721959</v>
      </c>
      <c r="G57" s="18">
        <v>0.82449921898349698</v>
      </c>
      <c r="I57" s="201"/>
    </row>
    <row r="58" spans="5:9" x14ac:dyDescent="0.25">
      <c r="E58" t="s">
        <v>111</v>
      </c>
      <c r="F58" s="17">
        <v>0.17550078101650307</v>
      </c>
      <c r="G58" s="18">
        <v>0.79774897001670786</v>
      </c>
      <c r="I58" s="201"/>
    </row>
    <row r="59" spans="5:9" x14ac:dyDescent="0.25">
      <c r="E59" t="s">
        <v>216</v>
      </c>
      <c r="F59" s="17">
        <v>0.20225102998329214</v>
      </c>
      <c r="G59" s="18">
        <v>0.78907403614736937</v>
      </c>
      <c r="I59" s="201"/>
    </row>
    <row r="60" spans="5:9" x14ac:dyDescent="0.25">
      <c r="E60" t="s">
        <v>112</v>
      </c>
      <c r="F60" s="17">
        <v>0.21092596385263068</v>
      </c>
      <c r="G60" s="18">
        <v>0.37333333333333341</v>
      </c>
      <c r="I60" s="201"/>
    </row>
    <row r="61" spans="5:9" x14ac:dyDescent="0.25">
      <c r="E61" t="s">
        <v>113</v>
      </c>
      <c r="F61" s="17">
        <v>0.62666666666666659</v>
      </c>
      <c r="G61" s="18">
        <v>0.49336641135379289</v>
      </c>
      <c r="I61" s="201"/>
    </row>
    <row r="62" spans="5:9" x14ac:dyDescent="0.25">
      <c r="E62" t="s">
        <v>114</v>
      </c>
      <c r="F62" s="17">
        <v>0.50663358864620711</v>
      </c>
      <c r="G62" s="18">
        <v>0.37333333333333341</v>
      </c>
      <c r="I62" s="201"/>
    </row>
    <row r="63" spans="5:9" x14ac:dyDescent="0.25">
      <c r="E63" t="s">
        <v>115</v>
      </c>
      <c r="F63" s="17">
        <v>0.62666666666666659</v>
      </c>
      <c r="G63" s="18">
        <v>0.53</v>
      </c>
      <c r="I63" s="201"/>
    </row>
    <row r="64" spans="5:9" x14ac:dyDescent="0.25">
      <c r="E64" t="s">
        <v>116</v>
      </c>
      <c r="F64" s="17">
        <v>0.47</v>
      </c>
      <c r="G64" s="18">
        <v>0.53</v>
      </c>
      <c r="I64" s="201"/>
    </row>
    <row r="65" spans="5:9" x14ac:dyDescent="0.25">
      <c r="E65" t="s">
        <v>217</v>
      </c>
      <c r="F65" s="17">
        <v>0.47</v>
      </c>
      <c r="G65" s="18">
        <v>0.37333333333333341</v>
      </c>
      <c r="I65" s="201"/>
    </row>
    <row r="66" spans="5:9" x14ac:dyDescent="0.25">
      <c r="E66" t="s">
        <v>218</v>
      </c>
      <c r="F66" s="17">
        <v>0.62666666666666659</v>
      </c>
      <c r="G66" s="18">
        <v>0.6854153992004095</v>
      </c>
      <c r="I66" s="201"/>
    </row>
    <row r="67" spans="5:9" x14ac:dyDescent="0.25">
      <c r="E67" t="s">
        <v>219</v>
      </c>
      <c r="F67" s="17">
        <v>0.31458460079959055</v>
      </c>
      <c r="G67" s="18">
        <v>0.6849852303796039</v>
      </c>
      <c r="I67" s="201"/>
    </row>
    <row r="68" spans="5:9" x14ac:dyDescent="0.25">
      <c r="E68" t="s">
        <v>117</v>
      </c>
      <c r="F68" s="17">
        <v>0.3150147696203961</v>
      </c>
      <c r="G68" s="18">
        <v>0.67468862236318461</v>
      </c>
      <c r="I68" s="201"/>
    </row>
    <row r="69" spans="5:9" x14ac:dyDescent="0.25">
      <c r="E69" t="s">
        <v>220</v>
      </c>
      <c r="F69" s="17">
        <v>0.32531137763681539</v>
      </c>
      <c r="G69" s="18">
        <v>0.53</v>
      </c>
      <c r="I69" s="201"/>
    </row>
    <row r="70" spans="5:9" x14ac:dyDescent="0.25">
      <c r="E70" t="s">
        <v>221</v>
      </c>
      <c r="F70" s="17">
        <v>0.47</v>
      </c>
      <c r="G70" s="18">
        <v>0.37333333333333341</v>
      </c>
      <c r="I70" s="201"/>
    </row>
    <row r="71" spans="5:9" x14ac:dyDescent="0.25">
      <c r="E71" t="s">
        <v>118</v>
      </c>
      <c r="F71" s="17">
        <v>0.62666666666666659</v>
      </c>
      <c r="G71" s="18">
        <v>0.55705660706868454</v>
      </c>
      <c r="I71" s="201"/>
    </row>
    <row r="72" spans="5:9" x14ac:dyDescent="0.25">
      <c r="E72" t="s">
        <v>222</v>
      </c>
      <c r="F72" s="17">
        <v>0.44294339293131546</v>
      </c>
      <c r="G72" s="18">
        <v>0.53</v>
      </c>
      <c r="I72" s="201"/>
    </row>
    <row r="73" spans="5:9" x14ac:dyDescent="0.25">
      <c r="E73" t="s">
        <v>119</v>
      </c>
      <c r="F73" s="17">
        <v>0.47</v>
      </c>
      <c r="G73" s="18">
        <v>0.37333333333333341</v>
      </c>
      <c r="I73" s="201"/>
    </row>
    <row r="74" spans="5:9" x14ac:dyDescent="0.25">
      <c r="E74" t="s">
        <v>223</v>
      </c>
      <c r="F74" s="17">
        <v>0.62666666666666659</v>
      </c>
      <c r="G74" s="18">
        <v>0.63623503678862781</v>
      </c>
      <c r="I74" s="201"/>
    </row>
    <row r="75" spans="5:9" x14ac:dyDescent="0.25">
      <c r="E75" t="s">
        <v>120</v>
      </c>
      <c r="F75" s="17">
        <v>0.36376496321137219</v>
      </c>
      <c r="G75" s="18">
        <v>0.92869033361721143</v>
      </c>
      <c r="I75" s="201"/>
    </row>
    <row r="76" spans="5:9" x14ac:dyDescent="0.25">
      <c r="E76" t="s">
        <v>121</v>
      </c>
      <c r="F76" s="17">
        <v>7.1309666382788517E-2</v>
      </c>
      <c r="G76" s="18">
        <v>0.37333333333333341</v>
      </c>
      <c r="I76" s="201"/>
    </row>
    <row r="77" spans="5:9" x14ac:dyDescent="0.25">
      <c r="E77" t="s">
        <v>122</v>
      </c>
      <c r="F77" s="17">
        <v>0.62666666666666659</v>
      </c>
      <c r="G77" s="18">
        <v>0.88847183077247838</v>
      </c>
      <c r="I77" s="201"/>
    </row>
    <row r="78" spans="5:9" x14ac:dyDescent="0.25">
      <c r="E78" t="s">
        <v>123</v>
      </c>
      <c r="F78" s="17">
        <v>0.11152816922752157</v>
      </c>
      <c r="G78" s="18">
        <v>0.37333333333333341</v>
      </c>
      <c r="I78" s="201"/>
    </row>
    <row r="79" spans="5:9" x14ac:dyDescent="0.25">
      <c r="E79" t="s">
        <v>124</v>
      </c>
      <c r="F79" s="17">
        <v>0.62666666666666659</v>
      </c>
      <c r="G79" s="18">
        <v>0.59325715195259043</v>
      </c>
      <c r="I79" s="201"/>
    </row>
    <row r="80" spans="5:9" x14ac:dyDescent="0.25">
      <c r="E80" t="s">
        <v>125</v>
      </c>
      <c r="F80" s="17">
        <v>0.40674284804740962</v>
      </c>
      <c r="G80" s="18">
        <v>0.37333333333333341</v>
      </c>
      <c r="I80" s="201"/>
    </row>
    <row r="81" spans="5:9" x14ac:dyDescent="0.25">
      <c r="E81" t="s">
        <v>126</v>
      </c>
      <c r="F81" s="17">
        <v>0.62666666666666659</v>
      </c>
      <c r="G81" s="18">
        <v>0.68871803584224123</v>
      </c>
      <c r="I81" s="201"/>
    </row>
    <row r="82" spans="5:9" x14ac:dyDescent="0.25">
      <c r="E82" t="s">
        <v>127</v>
      </c>
      <c r="F82" s="17">
        <v>0.31128196415775877</v>
      </c>
      <c r="G82" s="18">
        <v>0.6775531312748051</v>
      </c>
      <c r="I82" s="201"/>
    </row>
    <row r="83" spans="5:9" x14ac:dyDescent="0.25">
      <c r="E83" t="s">
        <v>128</v>
      </c>
      <c r="F83" s="17">
        <v>0.32244686872519485</v>
      </c>
      <c r="G83" s="18">
        <v>0.37333333333333341</v>
      </c>
      <c r="I83" s="201"/>
    </row>
    <row r="84" spans="5:9" x14ac:dyDescent="0.25">
      <c r="E84" t="s">
        <v>129</v>
      </c>
      <c r="F84" s="17">
        <v>0.62666666666666659</v>
      </c>
      <c r="G84" s="18">
        <v>0.37333333333333341</v>
      </c>
      <c r="I84" s="201"/>
    </row>
    <row r="85" spans="5:9" x14ac:dyDescent="0.25">
      <c r="E85" t="s">
        <v>130</v>
      </c>
      <c r="F85" s="17">
        <v>0.62666666666666659</v>
      </c>
      <c r="G85" s="18">
        <v>0.69469981328668029</v>
      </c>
      <c r="I85" s="201"/>
    </row>
    <row r="86" spans="5:9" x14ac:dyDescent="0.25">
      <c r="E86" t="s">
        <v>131</v>
      </c>
      <c r="F86" s="17">
        <v>0.30530018671331971</v>
      </c>
      <c r="G86" s="18">
        <v>0.37333333333333341</v>
      </c>
      <c r="I86" s="201"/>
    </row>
    <row r="87" spans="5:9" x14ac:dyDescent="0.25">
      <c r="E87" t="s">
        <v>132</v>
      </c>
      <c r="F87" s="17">
        <v>0.62666666666666659</v>
      </c>
      <c r="G87" s="18">
        <v>0.65642607940315711</v>
      </c>
      <c r="I87" s="201"/>
    </row>
    <row r="88" spans="5:9" x14ac:dyDescent="0.25">
      <c r="E88" t="s">
        <v>133</v>
      </c>
      <c r="F88" s="17">
        <v>0.34357392059684289</v>
      </c>
      <c r="G88" s="18">
        <v>0.77587379496161146</v>
      </c>
      <c r="I88" s="201"/>
    </row>
    <row r="89" spans="5:9" x14ac:dyDescent="0.25">
      <c r="E89" t="s">
        <v>134</v>
      </c>
      <c r="F89" s="17">
        <v>0.22412620503838859</v>
      </c>
      <c r="G89" s="18">
        <v>0.53</v>
      </c>
      <c r="I89" s="201"/>
    </row>
    <row r="90" spans="5:9" x14ac:dyDescent="0.25">
      <c r="E90" t="s">
        <v>135</v>
      </c>
      <c r="F90" s="17">
        <v>0.47</v>
      </c>
      <c r="G90" s="18">
        <v>0.53</v>
      </c>
      <c r="I90" s="201"/>
    </row>
    <row r="91" spans="5:9" x14ac:dyDescent="0.25">
      <c r="E91" t="s">
        <v>136</v>
      </c>
      <c r="F91" s="17">
        <v>0</v>
      </c>
      <c r="G91" s="18">
        <v>1</v>
      </c>
      <c r="I91" s="201"/>
    </row>
  </sheetData>
  <mergeCells count="2">
    <mergeCell ref="A1:B1"/>
    <mergeCell ref="E1:G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93"/>
  <sheetViews>
    <sheetView workbookViewId="0">
      <selection activeCell="F10" sqref="F10"/>
    </sheetView>
  </sheetViews>
  <sheetFormatPr defaultColWidth="8.85546875" defaultRowHeight="15" x14ac:dyDescent="0.25"/>
  <cols>
    <col min="1" max="1" width="14.140625" customWidth="1"/>
    <col min="2" max="2" width="44.42578125" bestFit="1" customWidth="1"/>
    <col min="3" max="3" width="24.140625" style="13" customWidth="1"/>
    <col min="4" max="4" width="22.42578125" style="50" customWidth="1"/>
    <col min="5" max="5" width="22.42578125" customWidth="1"/>
    <col min="6" max="6" width="12.28515625" style="41" customWidth="1"/>
    <col min="7" max="7" width="22.42578125" style="41" customWidth="1"/>
    <col min="8" max="8" width="9.140625" customWidth="1"/>
  </cols>
  <sheetData>
    <row r="2" spans="2:8" x14ac:dyDescent="0.25">
      <c r="C2" s="44" t="s">
        <v>164</v>
      </c>
      <c r="D2" s="47" t="s">
        <v>164</v>
      </c>
      <c r="E2" s="40" t="s">
        <v>164</v>
      </c>
    </row>
    <row r="3" spans="2:8" ht="94.5" x14ac:dyDescent="0.25">
      <c r="B3" t="s">
        <v>70</v>
      </c>
      <c r="C3" s="45" t="s">
        <v>171</v>
      </c>
      <c r="D3" s="48" t="s">
        <v>170</v>
      </c>
      <c r="E3" s="43" t="s">
        <v>229</v>
      </c>
      <c r="F3" s="200"/>
      <c r="G3" s="200"/>
    </row>
    <row r="4" spans="2:8" s="6" customFormat="1" ht="15.75" x14ac:dyDescent="0.25">
      <c r="B4" s="6" t="s">
        <v>70</v>
      </c>
      <c r="C4" s="46" t="s">
        <v>45</v>
      </c>
      <c r="D4" s="49" t="s">
        <v>165</v>
      </c>
      <c r="E4" s="6" t="s">
        <v>166</v>
      </c>
      <c r="F4" s="199"/>
      <c r="G4" s="199"/>
      <c r="H4" s="42"/>
    </row>
    <row r="5" spans="2:8" x14ac:dyDescent="0.25">
      <c r="B5" t="s">
        <v>73</v>
      </c>
      <c r="C5" s="13">
        <v>19503426</v>
      </c>
      <c r="D5" s="50">
        <v>5210</v>
      </c>
      <c r="E5">
        <v>9.8030000000000008</v>
      </c>
      <c r="H5" t="b">
        <f>A5=B5</f>
        <v>0</v>
      </c>
    </row>
    <row r="6" spans="2:8" x14ac:dyDescent="0.25">
      <c r="B6" t="s">
        <v>74</v>
      </c>
      <c r="C6" s="13">
        <v>758944649</v>
      </c>
      <c r="D6" s="50">
        <v>73591</v>
      </c>
      <c r="E6">
        <v>10.477</v>
      </c>
      <c r="H6" t="b">
        <f t="shared" ref="H6:H69" si="0">A6=B6</f>
        <v>0</v>
      </c>
    </row>
    <row r="7" spans="2:8" x14ac:dyDescent="0.25">
      <c r="B7" t="s">
        <v>75</v>
      </c>
      <c r="C7" s="13">
        <v>2169487</v>
      </c>
      <c r="D7" s="50">
        <v>158</v>
      </c>
      <c r="E7">
        <v>2.4</v>
      </c>
      <c r="H7" t="b">
        <f t="shared" si="0"/>
        <v>0</v>
      </c>
    </row>
    <row r="8" spans="2:8" x14ac:dyDescent="0.25">
      <c r="B8" t="s">
        <v>76</v>
      </c>
      <c r="C8" s="13">
        <v>187026426</v>
      </c>
      <c r="D8" s="50">
        <v>3728</v>
      </c>
      <c r="E8">
        <v>5.7450000000000001</v>
      </c>
      <c r="H8" t="b">
        <f t="shared" si="0"/>
        <v>0</v>
      </c>
    </row>
    <row r="9" spans="2:8" x14ac:dyDescent="0.25">
      <c r="B9" t="s">
        <v>201</v>
      </c>
      <c r="C9" s="13">
        <v>54688367</v>
      </c>
      <c r="D9" s="50">
        <v>2495</v>
      </c>
      <c r="E9">
        <v>12.249000000000001</v>
      </c>
      <c r="H9" t="b">
        <f t="shared" si="0"/>
        <v>0</v>
      </c>
    </row>
    <row r="10" spans="2:8" x14ac:dyDescent="0.25">
      <c r="B10" t="s">
        <v>77</v>
      </c>
      <c r="C10" s="13">
        <v>27722963</v>
      </c>
      <c r="D10" s="50">
        <v>3566</v>
      </c>
      <c r="E10">
        <v>11.813000000000001</v>
      </c>
      <c r="H10" t="b">
        <f t="shared" si="0"/>
        <v>0</v>
      </c>
    </row>
    <row r="11" spans="2:8" x14ac:dyDescent="0.25">
      <c r="B11" t="s">
        <v>78</v>
      </c>
      <c r="C11" s="13">
        <v>19315595</v>
      </c>
      <c r="D11" s="50">
        <v>2442</v>
      </c>
      <c r="E11">
        <v>11.509</v>
      </c>
      <c r="H11" t="b">
        <f t="shared" si="0"/>
        <v>0</v>
      </c>
    </row>
    <row r="12" spans="2:8" x14ac:dyDescent="0.25">
      <c r="B12" t="s">
        <v>202</v>
      </c>
      <c r="C12" s="13">
        <v>65102704</v>
      </c>
      <c r="D12" s="50">
        <v>2495</v>
      </c>
      <c r="E12">
        <v>12.019</v>
      </c>
      <c r="H12" t="b">
        <f t="shared" si="0"/>
        <v>0</v>
      </c>
    </row>
    <row r="13" spans="2:8" x14ac:dyDescent="0.25">
      <c r="B13" t="s">
        <v>79</v>
      </c>
      <c r="C13" s="13">
        <v>31861766</v>
      </c>
      <c r="D13" s="50">
        <v>460</v>
      </c>
      <c r="E13">
        <v>4.5229999999999997</v>
      </c>
      <c r="H13" t="b">
        <f t="shared" si="0"/>
        <v>0</v>
      </c>
    </row>
    <row r="14" spans="2:8" x14ac:dyDescent="0.25">
      <c r="B14" t="s">
        <v>80</v>
      </c>
      <c r="C14" s="13">
        <v>959530717</v>
      </c>
      <c r="D14" s="50">
        <v>7039</v>
      </c>
      <c r="E14">
        <v>10.257999999999999</v>
      </c>
      <c r="H14" t="b">
        <f t="shared" si="0"/>
        <v>0</v>
      </c>
    </row>
    <row r="15" spans="2:8" x14ac:dyDescent="0.25">
      <c r="B15" t="s">
        <v>203</v>
      </c>
      <c r="C15" s="13">
        <v>3224463</v>
      </c>
      <c r="D15" s="50">
        <v>175</v>
      </c>
      <c r="E15">
        <v>7.51</v>
      </c>
      <c r="H15" t="b">
        <f t="shared" si="0"/>
        <v>0</v>
      </c>
    </row>
    <row r="16" spans="2:8" x14ac:dyDescent="0.25">
      <c r="B16" t="s">
        <v>204</v>
      </c>
      <c r="C16" s="13">
        <v>25526582</v>
      </c>
      <c r="D16" s="50">
        <v>4693</v>
      </c>
      <c r="E16">
        <v>9.2490000000000006</v>
      </c>
      <c r="H16" t="b">
        <f t="shared" si="0"/>
        <v>0</v>
      </c>
    </row>
    <row r="17" spans="2:8" x14ac:dyDescent="0.25">
      <c r="B17" t="s">
        <v>205</v>
      </c>
      <c r="C17" s="13">
        <v>5433147</v>
      </c>
      <c r="D17" s="50">
        <v>322</v>
      </c>
      <c r="E17">
        <v>5.3049999999999997</v>
      </c>
      <c r="H17" t="b">
        <f t="shared" si="0"/>
        <v>0</v>
      </c>
    </row>
    <row r="18" spans="2:8" x14ac:dyDescent="0.25">
      <c r="B18" t="s">
        <v>81</v>
      </c>
      <c r="C18" s="13">
        <v>21373879</v>
      </c>
      <c r="D18" s="50">
        <v>373</v>
      </c>
      <c r="E18">
        <v>4.944</v>
      </c>
      <c r="H18" t="b">
        <f t="shared" si="0"/>
        <v>0</v>
      </c>
    </row>
    <row r="19" spans="2:8" x14ac:dyDescent="0.25">
      <c r="B19" t="s">
        <v>82</v>
      </c>
      <c r="C19" s="13">
        <v>3217330</v>
      </c>
      <c r="D19" s="50">
        <v>401</v>
      </c>
      <c r="E19">
        <v>7.5</v>
      </c>
      <c r="H19" t="b">
        <f t="shared" si="0"/>
        <v>0</v>
      </c>
    </row>
    <row r="20" spans="2:8" x14ac:dyDescent="0.25">
      <c r="B20" t="s">
        <v>83</v>
      </c>
      <c r="C20" s="13">
        <v>10964600</v>
      </c>
      <c r="D20" s="50">
        <v>419</v>
      </c>
      <c r="E20">
        <v>7.5309999999999997</v>
      </c>
      <c r="H20" t="b">
        <f t="shared" si="0"/>
        <v>0</v>
      </c>
    </row>
    <row r="21" spans="2:8" x14ac:dyDescent="0.25">
      <c r="B21" t="s">
        <v>84</v>
      </c>
      <c r="C21" s="13">
        <v>12340741</v>
      </c>
      <c r="D21" s="50">
        <v>7420</v>
      </c>
      <c r="E21">
        <v>7.431</v>
      </c>
      <c r="H21" t="b">
        <f t="shared" si="0"/>
        <v>0</v>
      </c>
    </row>
    <row r="22" spans="2:8" x14ac:dyDescent="0.25">
      <c r="B22" t="s">
        <v>206</v>
      </c>
      <c r="C22" s="13">
        <v>8242723</v>
      </c>
      <c r="D22" s="50">
        <v>987</v>
      </c>
      <c r="E22">
        <v>10.093</v>
      </c>
      <c r="H22" t="b">
        <f t="shared" si="0"/>
        <v>0</v>
      </c>
    </row>
    <row r="23" spans="2:8" x14ac:dyDescent="0.25">
      <c r="B23" t="s">
        <v>207</v>
      </c>
      <c r="C23" s="13">
        <v>3980557</v>
      </c>
      <c r="D23" s="50">
        <v>85</v>
      </c>
      <c r="E23">
        <v>5.97</v>
      </c>
      <c r="H23" t="b">
        <f t="shared" si="0"/>
        <v>0</v>
      </c>
    </row>
    <row r="24" spans="2:8" x14ac:dyDescent="0.25">
      <c r="B24" t="s">
        <v>208</v>
      </c>
      <c r="C24" s="13">
        <v>12486532</v>
      </c>
      <c r="D24" s="50">
        <v>734</v>
      </c>
      <c r="E24">
        <v>12.384</v>
      </c>
      <c r="H24" t="b">
        <f t="shared" si="0"/>
        <v>0</v>
      </c>
    </row>
    <row r="25" spans="2:8" x14ac:dyDescent="0.25">
      <c r="B25" t="s">
        <v>85</v>
      </c>
      <c r="C25" s="13">
        <v>14604885</v>
      </c>
      <c r="D25" s="50">
        <v>5141</v>
      </c>
      <c r="E25">
        <v>8.2550000000000008</v>
      </c>
      <c r="H25" t="b">
        <f t="shared" si="0"/>
        <v>0</v>
      </c>
    </row>
    <row r="26" spans="2:8" x14ac:dyDescent="0.25">
      <c r="B26" t="s">
        <v>86</v>
      </c>
      <c r="C26" s="13">
        <v>345355</v>
      </c>
      <c r="D26" s="50">
        <v>136</v>
      </c>
      <c r="E26">
        <v>10.504</v>
      </c>
      <c r="H26" t="b">
        <f t="shared" si="0"/>
        <v>0</v>
      </c>
    </row>
    <row r="27" spans="2:8" x14ac:dyDescent="0.25">
      <c r="B27" t="s">
        <v>87</v>
      </c>
      <c r="C27" s="13">
        <v>229214</v>
      </c>
      <c r="D27" s="50">
        <v>808</v>
      </c>
      <c r="E27">
        <v>12.157</v>
      </c>
      <c r="H27" t="b">
        <f t="shared" si="0"/>
        <v>0</v>
      </c>
    </row>
    <row r="28" spans="2:8" x14ac:dyDescent="0.25">
      <c r="B28" t="s">
        <v>88</v>
      </c>
      <c r="C28" s="13">
        <v>10862769</v>
      </c>
      <c r="D28" s="50">
        <v>212</v>
      </c>
      <c r="E28">
        <v>7.9320000000000004</v>
      </c>
      <c r="H28" t="b">
        <f t="shared" si="0"/>
        <v>0</v>
      </c>
    </row>
    <row r="29" spans="2:8" x14ac:dyDescent="0.25">
      <c r="B29" t="s">
        <v>89</v>
      </c>
      <c r="C29" s="13">
        <v>37390410</v>
      </c>
      <c r="D29" s="50">
        <v>544</v>
      </c>
      <c r="E29">
        <v>3.548</v>
      </c>
      <c r="H29" t="b">
        <f t="shared" si="0"/>
        <v>0</v>
      </c>
    </row>
    <row r="30" spans="2:8" x14ac:dyDescent="0.25">
      <c r="B30" t="s">
        <v>90</v>
      </c>
      <c r="C30" s="13">
        <v>1998982</v>
      </c>
      <c r="D30" s="50">
        <v>151</v>
      </c>
      <c r="E30">
        <v>2.3210000000000002</v>
      </c>
      <c r="H30" t="b">
        <f t="shared" si="0"/>
        <v>0</v>
      </c>
    </row>
    <row r="31" spans="2:8" x14ac:dyDescent="0.25">
      <c r="B31" t="s">
        <v>91</v>
      </c>
      <c r="C31" s="13">
        <v>31346587</v>
      </c>
      <c r="D31" s="50">
        <v>2790</v>
      </c>
      <c r="E31">
        <v>8.9019999999999992</v>
      </c>
      <c r="H31" t="b">
        <f t="shared" si="0"/>
        <v>0</v>
      </c>
    </row>
    <row r="32" spans="2:8" x14ac:dyDescent="0.25">
      <c r="B32" t="s">
        <v>209</v>
      </c>
      <c r="C32" s="13">
        <v>7157138</v>
      </c>
      <c r="D32" s="50">
        <v>575</v>
      </c>
      <c r="E32">
        <v>8.0440000000000005</v>
      </c>
      <c r="H32" t="b">
        <f t="shared" si="0"/>
        <v>0</v>
      </c>
    </row>
    <row r="33" spans="2:8" x14ac:dyDescent="0.25">
      <c r="B33" t="s">
        <v>92</v>
      </c>
      <c r="C33" s="13">
        <v>259493808</v>
      </c>
      <c r="D33" s="50">
        <v>724</v>
      </c>
      <c r="E33">
        <v>5.8940000000000001</v>
      </c>
      <c r="H33" t="b">
        <f t="shared" si="0"/>
        <v>0</v>
      </c>
    </row>
    <row r="34" spans="2:8" x14ac:dyDescent="0.25">
      <c r="B34" t="s">
        <v>93</v>
      </c>
      <c r="C34" s="13">
        <v>43288839</v>
      </c>
      <c r="D34" s="50">
        <v>10717</v>
      </c>
      <c r="E34">
        <v>9.7639999999999993</v>
      </c>
      <c r="H34" t="b">
        <f t="shared" si="0"/>
        <v>0</v>
      </c>
    </row>
    <row r="35" spans="2:8" x14ac:dyDescent="0.25">
      <c r="B35" t="s">
        <v>94</v>
      </c>
      <c r="C35" s="13">
        <v>1139990</v>
      </c>
      <c r="D35" s="50">
        <v>217</v>
      </c>
      <c r="E35">
        <v>2.41</v>
      </c>
      <c r="H35" t="b">
        <f t="shared" si="0"/>
        <v>0</v>
      </c>
    </row>
    <row r="36" spans="2:8" x14ac:dyDescent="0.25">
      <c r="B36" t="s">
        <v>95</v>
      </c>
      <c r="C36" s="13">
        <v>4807591</v>
      </c>
      <c r="D36" s="50">
        <v>264</v>
      </c>
      <c r="E36">
        <v>7.3650000000000002</v>
      </c>
      <c r="H36" t="b">
        <f t="shared" si="0"/>
        <v>0</v>
      </c>
    </row>
    <row r="37" spans="2:8" x14ac:dyDescent="0.25">
      <c r="B37" t="s">
        <v>210</v>
      </c>
      <c r="C37" s="13">
        <v>34083756</v>
      </c>
      <c r="D37" s="50">
        <v>11530</v>
      </c>
      <c r="E37">
        <v>16.57</v>
      </c>
      <c r="H37" t="b">
        <f t="shared" si="0"/>
        <v>0</v>
      </c>
    </row>
    <row r="38" spans="2:8" x14ac:dyDescent="0.25">
      <c r="B38" t="s">
        <v>211</v>
      </c>
      <c r="C38" s="13">
        <v>9887284</v>
      </c>
      <c r="D38" s="50">
        <v>12409</v>
      </c>
      <c r="E38">
        <v>10.609</v>
      </c>
      <c r="H38" t="b">
        <f t="shared" si="0"/>
        <v>0</v>
      </c>
    </row>
    <row r="39" spans="2:8" x14ac:dyDescent="0.25">
      <c r="B39" t="s">
        <v>96</v>
      </c>
      <c r="C39" s="13">
        <v>35054</v>
      </c>
      <c r="D39" s="50">
        <v>177</v>
      </c>
      <c r="E39">
        <v>10.064</v>
      </c>
      <c r="H39" t="b">
        <f t="shared" si="0"/>
        <v>0</v>
      </c>
    </row>
    <row r="40" spans="2:8" x14ac:dyDescent="0.25">
      <c r="B40" t="s">
        <v>212</v>
      </c>
      <c r="C40" s="13">
        <v>11262969</v>
      </c>
      <c r="D40" s="50">
        <v>3121</v>
      </c>
      <c r="E40">
        <v>12.097</v>
      </c>
      <c r="H40" t="b">
        <f t="shared" si="0"/>
        <v>0</v>
      </c>
    </row>
    <row r="41" spans="2:8" x14ac:dyDescent="0.25">
      <c r="B41" t="s">
        <v>97</v>
      </c>
      <c r="C41" s="13">
        <v>3483244</v>
      </c>
      <c r="D41" s="50">
        <v>409</v>
      </c>
      <c r="E41">
        <v>10.138</v>
      </c>
      <c r="H41" t="b">
        <f t="shared" si="0"/>
        <v>0</v>
      </c>
    </row>
    <row r="42" spans="2:8" x14ac:dyDescent="0.25">
      <c r="B42" t="s">
        <v>98</v>
      </c>
      <c r="C42" s="13">
        <v>2106653</v>
      </c>
      <c r="D42" s="50">
        <v>1153</v>
      </c>
      <c r="E42">
        <v>12.678000000000001</v>
      </c>
      <c r="H42" t="b">
        <f t="shared" si="0"/>
        <v>0</v>
      </c>
    </row>
    <row r="43" spans="2:8" x14ac:dyDescent="0.25">
      <c r="B43" t="s">
        <v>99</v>
      </c>
      <c r="C43" s="13">
        <v>109895663</v>
      </c>
      <c r="D43" s="50">
        <v>10161</v>
      </c>
      <c r="E43">
        <v>11.632</v>
      </c>
      <c r="H43" t="b">
        <f t="shared" si="0"/>
        <v>0</v>
      </c>
    </row>
    <row r="44" spans="2:8" x14ac:dyDescent="0.25">
      <c r="B44" t="s">
        <v>100</v>
      </c>
      <c r="C44" s="13">
        <v>1364542</v>
      </c>
      <c r="D44" s="50">
        <v>126</v>
      </c>
      <c r="E44">
        <v>9.5389999999999997</v>
      </c>
      <c r="H44" t="b">
        <f t="shared" si="0"/>
        <v>0</v>
      </c>
    </row>
    <row r="45" spans="2:8" x14ac:dyDescent="0.25">
      <c r="B45" t="s">
        <v>101</v>
      </c>
      <c r="C45" s="13">
        <v>687139</v>
      </c>
      <c r="D45" s="50">
        <v>63</v>
      </c>
      <c r="E45">
        <v>8.5210000000000008</v>
      </c>
      <c r="H45" t="b">
        <f t="shared" si="0"/>
        <v>0</v>
      </c>
    </row>
    <row r="46" spans="2:8" x14ac:dyDescent="0.25">
      <c r="B46" t="s">
        <v>102</v>
      </c>
      <c r="C46" s="13">
        <v>982754970</v>
      </c>
      <c r="D46" s="50">
        <v>551</v>
      </c>
      <c r="E46">
        <v>2.9340000000000002</v>
      </c>
      <c r="H46" t="b">
        <f t="shared" si="0"/>
        <v>0</v>
      </c>
    </row>
    <row r="47" spans="2:8" x14ac:dyDescent="0.25">
      <c r="B47" t="s">
        <v>103</v>
      </c>
      <c r="C47" s="13">
        <v>19207037</v>
      </c>
      <c r="D47" s="50">
        <v>184</v>
      </c>
      <c r="E47">
        <v>2.2970000000000002</v>
      </c>
      <c r="H47" t="b">
        <f t="shared" si="0"/>
        <v>0</v>
      </c>
    </row>
    <row r="48" spans="2:8" x14ac:dyDescent="0.25">
      <c r="B48" t="s">
        <v>104</v>
      </c>
      <c r="C48" s="13">
        <v>2857574</v>
      </c>
      <c r="D48" s="50">
        <v>316</v>
      </c>
      <c r="E48">
        <v>11.151</v>
      </c>
      <c r="H48" t="b">
        <f t="shared" si="0"/>
        <v>0</v>
      </c>
    </row>
    <row r="49" spans="2:8" x14ac:dyDescent="0.25">
      <c r="B49" t="s">
        <v>105</v>
      </c>
      <c r="C49" s="13">
        <v>7392094</v>
      </c>
      <c r="D49" s="50">
        <v>126</v>
      </c>
      <c r="E49">
        <v>7.6029999999999998</v>
      </c>
      <c r="H49" t="b">
        <f t="shared" si="0"/>
        <v>0</v>
      </c>
    </row>
    <row r="50" spans="2:8" x14ac:dyDescent="0.25">
      <c r="B50" t="s">
        <v>106</v>
      </c>
      <c r="C50" s="13">
        <v>134379708</v>
      </c>
      <c r="D50" s="50">
        <v>23206</v>
      </c>
      <c r="E50">
        <v>9.3569999999999993</v>
      </c>
      <c r="H50" t="b">
        <f t="shared" si="0"/>
        <v>0</v>
      </c>
    </row>
    <row r="51" spans="2:8" x14ac:dyDescent="0.25">
      <c r="B51" t="s">
        <v>213</v>
      </c>
      <c r="C51" s="13">
        <v>6638807</v>
      </c>
      <c r="D51" s="50">
        <v>1117</v>
      </c>
      <c r="E51">
        <v>12.035</v>
      </c>
      <c r="H51" t="b">
        <f t="shared" si="0"/>
        <v>0</v>
      </c>
    </row>
    <row r="52" spans="2:8" x14ac:dyDescent="0.25">
      <c r="B52" t="s">
        <v>224</v>
      </c>
      <c r="C52" s="13">
        <v>2378802</v>
      </c>
      <c r="D52" s="50">
        <v>1566</v>
      </c>
      <c r="E52">
        <v>12.692</v>
      </c>
      <c r="H52" t="b">
        <f t="shared" si="0"/>
        <v>0</v>
      </c>
    </row>
    <row r="53" spans="2:8" x14ac:dyDescent="0.25">
      <c r="B53" t="s">
        <v>107</v>
      </c>
      <c r="C53" s="13">
        <v>3929574</v>
      </c>
      <c r="D53" s="50">
        <v>231</v>
      </c>
      <c r="E53">
        <v>9.2010000000000005</v>
      </c>
      <c r="H53" t="b">
        <f t="shared" si="0"/>
        <v>0</v>
      </c>
    </row>
    <row r="54" spans="2:8" x14ac:dyDescent="0.25">
      <c r="B54" t="s">
        <v>108</v>
      </c>
      <c r="C54" s="13">
        <v>3171924</v>
      </c>
      <c r="D54" s="50">
        <v>419</v>
      </c>
      <c r="E54">
        <v>9.1549999999999994</v>
      </c>
      <c r="H54" t="b">
        <f t="shared" si="0"/>
        <v>0</v>
      </c>
    </row>
    <row r="55" spans="2:8" x14ac:dyDescent="0.25">
      <c r="B55" t="s">
        <v>137</v>
      </c>
      <c r="C55" s="13">
        <v>34320904</v>
      </c>
      <c r="D55" s="50">
        <v>3736</v>
      </c>
      <c r="E55">
        <v>11.962</v>
      </c>
      <c r="H55" t="b">
        <f t="shared" si="0"/>
        <v>0</v>
      </c>
    </row>
    <row r="56" spans="2:8" x14ac:dyDescent="0.25">
      <c r="B56" t="s">
        <v>214</v>
      </c>
      <c r="C56" s="13">
        <v>29092348</v>
      </c>
      <c r="D56" s="50">
        <v>8165</v>
      </c>
      <c r="E56">
        <v>13.192</v>
      </c>
      <c r="H56" t="b">
        <f t="shared" si="0"/>
        <v>0</v>
      </c>
    </row>
    <row r="57" spans="2:8" x14ac:dyDescent="0.25">
      <c r="B57" t="s">
        <v>109</v>
      </c>
      <c r="C57" s="13">
        <v>108078139</v>
      </c>
      <c r="D57" s="50">
        <v>703</v>
      </c>
      <c r="E57">
        <v>5.7990000000000004</v>
      </c>
      <c r="H57" t="b">
        <f t="shared" si="0"/>
        <v>0</v>
      </c>
    </row>
    <row r="58" spans="2:8" x14ac:dyDescent="0.25">
      <c r="B58" t="s">
        <v>215</v>
      </c>
      <c r="C58" s="13">
        <v>30283412</v>
      </c>
      <c r="D58" s="50">
        <v>3410</v>
      </c>
      <c r="E58">
        <v>11.36</v>
      </c>
      <c r="H58" t="b">
        <f t="shared" si="0"/>
        <v>0</v>
      </c>
    </row>
    <row r="59" spans="2:8" x14ac:dyDescent="0.25">
      <c r="B59" t="s">
        <v>110</v>
      </c>
      <c r="C59" s="13">
        <v>1827015</v>
      </c>
      <c r="D59" s="50">
        <v>296</v>
      </c>
      <c r="E59">
        <v>10.678000000000001</v>
      </c>
      <c r="H59" t="b">
        <f t="shared" si="0"/>
        <v>0</v>
      </c>
    </row>
    <row r="60" spans="2:8" x14ac:dyDescent="0.25">
      <c r="B60" t="s">
        <v>111</v>
      </c>
      <c r="C60" s="13">
        <v>104709</v>
      </c>
      <c r="D60" s="50">
        <v>102</v>
      </c>
      <c r="E60">
        <v>10.311999999999999</v>
      </c>
      <c r="H60" t="b">
        <f t="shared" si="0"/>
        <v>0</v>
      </c>
    </row>
    <row r="61" spans="2:8" x14ac:dyDescent="0.25">
      <c r="B61" t="s">
        <v>216</v>
      </c>
      <c r="C61" s="13">
        <v>1948514</v>
      </c>
      <c r="D61" s="50">
        <v>289</v>
      </c>
      <c r="E61">
        <v>6.3159999999999998</v>
      </c>
      <c r="H61" t="b">
        <f t="shared" si="0"/>
        <v>0</v>
      </c>
    </row>
    <row r="62" spans="2:8" x14ac:dyDescent="0.25">
      <c r="B62" t="s">
        <v>112</v>
      </c>
      <c r="C62" s="13">
        <v>3029764</v>
      </c>
      <c r="D62" s="50">
        <v>259</v>
      </c>
      <c r="E62">
        <v>7.1079999999999997</v>
      </c>
      <c r="H62" t="b">
        <f t="shared" si="0"/>
        <v>0</v>
      </c>
    </row>
    <row r="63" spans="2:8" x14ac:dyDescent="0.25">
      <c r="B63" t="s">
        <v>113</v>
      </c>
      <c r="C63" s="13">
        <v>6990341</v>
      </c>
      <c r="D63" s="50">
        <v>443</v>
      </c>
      <c r="E63">
        <v>2.262</v>
      </c>
      <c r="H63" t="b">
        <f t="shared" si="0"/>
        <v>0</v>
      </c>
    </row>
    <row r="64" spans="2:8" x14ac:dyDescent="0.25">
      <c r="B64" t="s">
        <v>114</v>
      </c>
      <c r="C64" s="13">
        <v>21279646</v>
      </c>
      <c r="D64" s="50">
        <v>2219</v>
      </c>
      <c r="E64">
        <v>10.523999999999999</v>
      </c>
      <c r="H64" t="b">
        <f t="shared" si="0"/>
        <v>0</v>
      </c>
    </row>
    <row r="65" spans="2:8" x14ac:dyDescent="0.25">
      <c r="B65" t="s">
        <v>115</v>
      </c>
      <c r="C65" s="13">
        <v>2101576</v>
      </c>
      <c r="D65" s="50">
        <v>97</v>
      </c>
      <c r="E65">
        <v>13.43</v>
      </c>
      <c r="H65" t="b">
        <f t="shared" si="0"/>
        <v>0</v>
      </c>
    </row>
    <row r="66" spans="2:8" x14ac:dyDescent="0.25">
      <c r="B66" t="s">
        <v>116</v>
      </c>
      <c r="C66" s="13">
        <v>4309979</v>
      </c>
      <c r="D66" s="50">
        <v>191</v>
      </c>
      <c r="E66">
        <v>5.9470000000000001</v>
      </c>
      <c r="H66" t="b">
        <f t="shared" si="0"/>
        <v>0</v>
      </c>
    </row>
    <row r="67" spans="2:8" x14ac:dyDescent="0.25">
      <c r="B67" t="s">
        <v>217</v>
      </c>
      <c r="C67" s="13">
        <v>6752828</v>
      </c>
      <c r="D67" s="50">
        <v>456</v>
      </c>
      <c r="E67">
        <v>4.5670000000000002</v>
      </c>
      <c r="H67" t="b">
        <f t="shared" si="0"/>
        <v>0</v>
      </c>
    </row>
    <row r="68" spans="2:8" x14ac:dyDescent="0.25">
      <c r="B68" t="s">
        <v>218</v>
      </c>
      <c r="C68" s="13">
        <v>2777874</v>
      </c>
      <c r="D68" s="50">
        <v>270</v>
      </c>
      <c r="E68">
        <v>11.644</v>
      </c>
      <c r="H68" t="b">
        <f t="shared" si="0"/>
        <v>0</v>
      </c>
    </row>
    <row r="69" spans="2:8" x14ac:dyDescent="0.25">
      <c r="B69" t="s">
        <v>219</v>
      </c>
      <c r="C69" s="13">
        <v>7300594</v>
      </c>
      <c r="D69" s="50">
        <v>1556</v>
      </c>
      <c r="E69">
        <v>11.406000000000001</v>
      </c>
      <c r="H69" t="b">
        <f t="shared" si="0"/>
        <v>0</v>
      </c>
    </row>
    <row r="70" spans="2:8" x14ac:dyDescent="0.25">
      <c r="B70" t="s">
        <v>117</v>
      </c>
      <c r="C70" s="13">
        <v>7580751</v>
      </c>
      <c r="D70" s="50">
        <v>2565</v>
      </c>
      <c r="E70">
        <v>9.5519999999999996</v>
      </c>
      <c r="H70" t="b">
        <f t="shared" ref="H70:H93" si="1">A70=B70</f>
        <v>0</v>
      </c>
    </row>
    <row r="71" spans="2:8" x14ac:dyDescent="0.25">
      <c r="B71" t="s">
        <v>220</v>
      </c>
      <c r="C71" s="13">
        <v>5694143</v>
      </c>
      <c r="D71" s="50">
        <v>178</v>
      </c>
      <c r="E71">
        <v>4.92</v>
      </c>
      <c r="H71" t="b">
        <f t="shared" si="1"/>
        <v>0</v>
      </c>
    </row>
    <row r="72" spans="2:8" x14ac:dyDescent="0.25">
      <c r="B72" t="s">
        <v>221</v>
      </c>
      <c r="C72" s="13">
        <v>11207255</v>
      </c>
      <c r="D72" s="50">
        <v>333</v>
      </c>
      <c r="E72">
        <v>5</v>
      </c>
      <c r="H72" t="b">
        <f t="shared" si="1"/>
        <v>0</v>
      </c>
    </row>
    <row r="73" spans="2:8" x14ac:dyDescent="0.25">
      <c r="B73" t="s">
        <v>118</v>
      </c>
      <c r="C73" s="13">
        <v>7976803</v>
      </c>
      <c r="D73" s="50">
        <v>831</v>
      </c>
      <c r="E73">
        <v>10.518000000000001</v>
      </c>
      <c r="H73" t="b">
        <f t="shared" si="1"/>
        <v>0</v>
      </c>
    </row>
    <row r="74" spans="2:8" x14ac:dyDescent="0.25">
      <c r="B74" t="s">
        <v>222</v>
      </c>
      <c r="C74" s="13">
        <v>2614338</v>
      </c>
      <c r="D74" s="50">
        <v>89</v>
      </c>
      <c r="E74">
        <v>4.0659999999999998</v>
      </c>
      <c r="H74" t="b">
        <f t="shared" si="1"/>
        <v>0</v>
      </c>
    </row>
    <row r="75" spans="2:8" x14ac:dyDescent="0.25">
      <c r="B75" t="s">
        <v>119</v>
      </c>
      <c r="C75" s="13">
        <v>87831172</v>
      </c>
      <c r="D75" s="50">
        <v>16004</v>
      </c>
      <c r="E75">
        <v>10.64</v>
      </c>
      <c r="H75" t="b">
        <f t="shared" si="1"/>
        <v>0</v>
      </c>
    </row>
    <row r="76" spans="2:8" x14ac:dyDescent="0.25">
      <c r="B76" t="s">
        <v>223</v>
      </c>
      <c r="C76" s="13">
        <v>45370366</v>
      </c>
      <c r="D76" s="50">
        <v>9068</v>
      </c>
      <c r="E76">
        <v>7.8239999999999998</v>
      </c>
      <c r="H76" t="b">
        <f t="shared" si="1"/>
        <v>0</v>
      </c>
    </row>
    <row r="77" spans="2:8" x14ac:dyDescent="0.25">
      <c r="B77" t="s">
        <v>120</v>
      </c>
      <c r="C77" s="13">
        <v>283262</v>
      </c>
      <c r="D77" s="50">
        <v>75</v>
      </c>
      <c r="E77">
        <v>7.22</v>
      </c>
      <c r="H77" t="b">
        <f t="shared" si="1"/>
        <v>0</v>
      </c>
    </row>
    <row r="78" spans="2:8" x14ac:dyDescent="0.25">
      <c r="B78" t="s">
        <v>121</v>
      </c>
      <c r="C78" s="13">
        <v>29904585</v>
      </c>
      <c r="D78" s="50">
        <v>1757</v>
      </c>
      <c r="E78">
        <v>8.2420000000000009</v>
      </c>
      <c r="H78" t="b">
        <f t="shared" si="1"/>
        <v>0</v>
      </c>
    </row>
    <row r="79" spans="2:8" x14ac:dyDescent="0.25">
      <c r="B79" t="s">
        <v>122</v>
      </c>
      <c r="C79" s="13">
        <v>237351</v>
      </c>
      <c r="D79" s="50">
        <v>118</v>
      </c>
      <c r="E79">
        <v>10.201000000000001</v>
      </c>
      <c r="H79" t="b">
        <f t="shared" si="1"/>
        <v>0</v>
      </c>
    </row>
    <row r="80" spans="2:8" x14ac:dyDescent="0.25">
      <c r="B80" t="s">
        <v>123</v>
      </c>
      <c r="C80" s="13">
        <v>343278445</v>
      </c>
      <c r="D80" s="50">
        <v>11352</v>
      </c>
      <c r="E80">
        <v>8.7650000000000006</v>
      </c>
      <c r="H80" t="b">
        <f t="shared" si="1"/>
        <v>0</v>
      </c>
    </row>
    <row r="81" spans="2:8" x14ac:dyDescent="0.25">
      <c r="B81" t="s">
        <v>124</v>
      </c>
      <c r="C81" s="13">
        <v>7280112</v>
      </c>
      <c r="D81" s="50">
        <v>590</v>
      </c>
      <c r="E81">
        <v>7.1849999999999996</v>
      </c>
      <c r="H81" t="b">
        <f t="shared" si="1"/>
        <v>0</v>
      </c>
    </row>
    <row r="82" spans="2:8" x14ac:dyDescent="0.25">
      <c r="B82" t="s">
        <v>125</v>
      </c>
      <c r="C82" s="13">
        <v>23775536</v>
      </c>
      <c r="D82" s="50">
        <v>2111</v>
      </c>
      <c r="E82">
        <v>5.9530000000000003</v>
      </c>
      <c r="H82" t="b">
        <f t="shared" si="1"/>
        <v>0</v>
      </c>
    </row>
    <row r="83" spans="2:8" x14ac:dyDescent="0.25">
      <c r="B83" t="s">
        <v>126</v>
      </c>
      <c r="C83" s="196">
        <v>3278375</v>
      </c>
      <c r="D83" s="197">
        <v>1340</v>
      </c>
      <c r="E83">
        <v>8.6829999999999998</v>
      </c>
      <c r="F83" s="198"/>
      <c r="H83" t="b">
        <f t="shared" si="1"/>
        <v>0</v>
      </c>
    </row>
    <row r="84" spans="2:8" x14ac:dyDescent="0.25">
      <c r="B84" t="s">
        <v>127</v>
      </c>
      <c r="C84" s="196">
        <v>311670</v>
      </c>
      <c r="D84" s="197">
        <v>117</v>
      </c>
      <c r="E84">
        <v>8.2560000000000002</v>
      </c>
      <c r="F84" s="198"/>
      <c r="H84" t="b">
        <f t="shared" si="1"/>
        <v>0</v>
      </c>
    </row>
    <row r="85" spans="2:8" x14ac:dyDescent="0.25">
      <c r="B85" t="s">
        <v>131</v>
      </c>
      <c r="C85" s="196">
        <v>13140417</v>
      </c>
      <c r="D85" s="197">
        <v>1262</v>
      </c>
      <c r="E85">
        <v>8.0980000000000008</v>
      </c>
      <c r="F85" s="198"/>
      <c r="H85" t="b">
        <f t="shared" si="1"/>
        <v>0</v>
      </c>
    </row>
    <row r="86" spans="2:8" x14ac:dyDescent="0.25">
      <c r="B86" t="s">
        <v>128</v>
      </c>
      <c r="C86" s="196">
        <v>65892199</v>
      </c>
      <c r="D86" s="197">
        <v>2005</v>
      </c>
      <c r="E86">
        <v>5.4429999999999996</v>
      </c>
      <c r="F86" s="198"/>
      <c r="G86" s="198"/>
      <c r="H86" t="b">
        <f t="shared" si="1"/>
        <v>0</v>
      </c>
    </row>
    <row r="87" spans="2:8" x14ac:dyDescent="0.25">
      <c r="B87" t="s">
        <v>129</v>
      </c>
      <c r="C87" s="196">
        <v>9817945</v>
      </c>
      <c r="D87" s="197">
        <v>308</v>
      </c>
      <c r="E87">
        <v>6.8849999999999998</v>
      </c>
      <c r="F87" s="198"/>
      <c r="H87" t="b">
        <f t="shared" si="1"/>
        <v>0</v>
      </c>
    </row>
    <row r="88" spans="2:8" x14ac:dyDescent="0.25">
      <c r="B88" t="s">
        <v>130</v>
      </c>
      <c r="C88" s="196">
        <v>978649</v>
      </c>
      <c r="D88" s="197">
        <v>567</v>
      </c>
      <c r="E88">
        <v>9.6120000000000001</v>
      </c>
      <c r="F88" s="198"/>
      <c r="H88" t="b">
        <f t="shared" si="1"/>
        <v>0</v>
      </c>
    </row>
    <row r="89" spans="2:8" x14ac:dyDescent="0.25">
      <c r="B89" t="s">
        <v>132</v>
      </c>
      <c r="C89" s="196">
        <v>3982270</v>
      </c>
      <c r="D89" s="197">
        <v>883</v>
      </c>
      <c r="E89">
        <v>9.4130000000000003</v>
      </c>
      <c r="F89" s="198"/>
      <c r="H89" t="b">
        <f t="shared" si="1"/>
        <v>0</v>
      </c>
    </row>
    <row r="90" spans="2:8" x14ac:dyDescent="0.25">
      <c r="B90" t="s">
        <v>133</v>
      </c>
      <c r="C90" s="196">
        <v>2580184</v>
      </c>
      <c r="D90" s="197">
        <v>946</v>
      </c>
      <c r="E90">
        <v>10.872999999999999</v>
      </c>
      <c r="H90" t="b">
        <f t="shared" si="1"/>
        <v>0</v>
      </c>
    </row>
    <row r="91" spans="2:8" x14ac:dyDescent="0.25">
      <c r="B91" t="s">
        <v>134</v>
      </c>
      <c r="C91" s="196">
        <v>4621771</v>
      </c>
      <c r="D91" s="197">
        <v>46</v>
      </c>
      <c r="E91">
        <v>6.6790000000000003</v>
      </c>
      <c r="H91" t="b">
        <f t="shared" si="1"/>
        <v>0</v>
      </c>
    </row>
    <row r="92" spans="2:8" x14ac:dyDescent="0.25">
      <c r="B92" t="s">
        <v>135</v>
      </c>
      <c r="C92" s="13">
        <v>1792189</v>
      </c>
      <c r="D92" s="50">
        <v>72</v>
      </c>
      <c r="E92">
        <v>6.1829999999999998</v>
      </c>
      <c r="H92" t="b">
        <f t="shared" si="1"/>
        <v>0</v>
      </c>
    </row>
    <row r="93" spans="2:8" x14ac:dyDescent="0.25">
      <c r="B93" t="s">
        <v>136</v>
      </c>
      <c r="C93" s="13">
        <v>189097</v>
      </c>
      <c r="D93" s="50">
        <v>1079</v>
      </c>
      <c r="E93">
        <v>2.5</v>
      </c>
      <c r="H93" t="b">
        <f t="shared" si="1"/>
        <v>0</v>
      </c>
    </row>
  </sheetData>
  <sheetProtection algorithmName="SHA-512" hashValue="G4nqNdtxkjlhV9KEjiGjRuY2tcoGG1uGnwC4+LsMbFLwYYCkMGzyYACaJ+Df2pYbJrD4zZPH9jLBNtZ5EwpsDQ==" saltValue="PV+HXzBC0Wly2nOcPlbL9g==" spinCount="100000" sheet="1" objects="1" scenarios="1"/>
  <conditionalFormatting sqref="H5:H93">
    <cfRule type="containsText" dxfId="38" priority="1" operator="containsText" text="False">
      <formula>NOT(ISERROR(SEARCH("False",H5)))</formula>
    </cfRule>
  </conditionalFormatting>
  <pageMargins left="0.7" right="0.7" top="0.75" bottom="0.75" header="0.3" footer="0.3"/>
  <pageSetup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
  <sheetViews>
    <sheetView workbookViewId="0">
      <selection sqref="A1:K1"/>
    </sheetView>
  </sheetViews>
  <sheetFormatPr defaultColWidth="9.140625" defaultRowHeight="15" x14ac:dyDescent="0.25"/>
  <cols>
    <col min="1" max="16384" width="9.140625" style="21"/>
  </cols>
  <sheetData>
    <row r="1" spans="1:11" s="39" customFormat="1" ht="49.5" customHeight="1" x14ac:dyDescent="0.25">
      <c r="A1" s="215" t="s">
        <v>157</v>
      </c>
      <c r="B1" s="215"/>
      <c r="C1" s="215"/>
      <c r="D1" s="215"/>
      <c r="E1" s="215"/>
      <c r="F1" s="215"/>
      <c r="G1" s="215"/>
      <c r="H1" s="215"/>
      <c r="I1" s="215"/>
      <c r="J1" s="215"/>
      <c r="K1" s="215"/>
    </row>
    <row r="2" spans="1:11" s="39" customFormat="1" ht="78.75" customHeight="1" x14ac:dyDescent="0.35">
      <c r="A2" s="215" t="s">
        <v>158</v>
      </c>
      <c r="B2" s="215"/>
      <c r="C2" s="215"/>
      <c r="D2" s="215"/>
      <c r="E2" s="215"/>
      <c r="F2" s="215"/>
      <c r="G2" s="215"/>
      <c r="H2" s="215"/>
      <c r="I2" s="215"/>
      <c r="J2" s="215"/>
      <c r="K2" s="215"/>
    </row>
    <row r="3" spans="1:11" s="39" customFormat="1" ht="108" customHeight="1" x14ac:dyDescent="0.25">
      <c r="A3" s="215" t="s">
        <v>159</v>
      </c>
      <c r="B3" s="215"/>
      <c r="C3" s="215"/>
      <c r="D3" s="215"/>
      <c r="E3" s="215"/>
      <c r="F3" s="215"/>
      <c r="G3" s="215"/>
      <c r="H3" s="215"/>
      <c r="I3" s="215"/>
      <c r="J3" s="215"/>
      <c r="K3" s="215"/>
    </row>
    <row r="4" spans="1:11" s="39" customFormat="1" ht="86.25" customHeight="1" x14ac:dyDescent="0.25">
      <c r="A4" s="215" t="s">
        <v>160</v>
      </c>
      <c r="B4" s="215"/>
      <c r="C4" s="215"/>
      <c r="D4" s="215"/>
      <c r="E4" s="215"/>
      <c r="F4" s="215"/>
      <c r="G4" s="215"/>
      <c r="H4" s="215"/>
      <c r="I4" s="215"/>
      <c r="J4" s="215"/>
      <c r="K4" s="215"/>
    </row>
  </sheetData>
  <mergeCells count="4">
    <mergeCell ref="A4:K4"/>
    <mergeCell ref="A1:K1"/>
    <mergeCell ref="A2:K2"/>
    <mergeCell ref="A3:K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zoomScale="175" zoomScaleNormal="175" workbookViewId="0">
      <selection activeCell="B9" sqref="B9:D9"/>
    </sheetView>
  </sheetViews>
  <sheetFormatPr defaultColWidth="8.85546875" defaultRowHeight="15" x14ac:dyDescent="0.25"/>
  <cols>
    <col min="1" max="1" width="34.140625" customWidth="1"/>
    <col min="2" max="2" width="22.7109375" customWidth="1"/>
    <col min="3" max="3" width="24.85546875" customWidth="1"/>
    <col min="4" max="4" width="2.42578125" style="21" customWidth="1"/>
    <col min="5" max="5" width="2.28515625" style="194" customWidth="1"/>
  </cols>
  <sheetData>
    <row r="1" spans="1:6" ht="14.45" x14ac:dyDescent="0.35">
      <c r="A1" s="218" t="s">
        <v>146</v>
      </c>
      <c r="B1" s="218"/>
      <c r="C1" s="218"/>
      <c r="D1" s="218"/>
    </row>
    <row r="2" spans="1:6" ht="14.45" x14ac:dyDescent="0.35">
      <c r="A2" s="2" t="s">
        <v>140</v>
      </c>
      <c r="B2" s="219"/>
      <c r="C2" s="219"/>
      <c r="D2" s="219"/>
      <c r="F2" s="159"/>
    </row>
    <row r="3" spans="1:6" x14ac:dyDescent="0.25">
      <c r="A3" s="2" t="s">
        <v>64</v>
      </c>
      <c r="B3" s="219"/>
      <c r="C3" s="219"/>
      <c r="D3" s="219"/>
      <c r="F3" s="159"/>
    </row>
    <row r="4" spans="1:6" ht="14.45" x14ac:dyDescent="0.35">
      <c r="A4" s="2" t="s">
        <v>181</v>
      </c>
      <c r="B4" s="219"/>
      <c r="C4" s="219"/>
      <c r="D4" s="219"/>
      <c r="F4" s="159"/>
    </row>
    <row r="5" spans="1:6" ht="14.45" x14ac:dyDescent="0.35">
      <c r="A5" s="2" t="s">
        <v>65</v>
      </c>
      <c r="B5" s="219"/>
      <c r="C5" s="219"/>
      <c r="D5" s="219"/>
      <c r="F5" s="159"/>
    </row>
    <row r="6" spans="1:6" ht="14.45" x14ac:dyDescent="0.35">
      <c r="A6" s="2" t="s">
        <v>186</v>
      </c>
      <c r="B6" s="219"/>
      <c r="C6" s="219"/>
      <c r="D6" s="219"/>
      <c r="F6" s="159"/>
    </row>
    <row r="7" spans="1:6" ht="14.45" x14ac:dyDescent="0.35">
      <c r="A7" s="2" t="s">
        <v>187</v>
      </c>
      <c r="B7" s="219"/>
      <c r="C7" s="219"/>
      <c r="D7" s="219"/>
      <c r="F7" s="159"/>
    </row>
    <row r="8" spans="1:6" ht="14.45" x14ac:dyDescent="0.35">
      <c r="F8" s="159"/>
    </row>
    <row r="9" spans="1:6" ht="14.45" x14ac:dyDescent="0.35">
      <c r="A9" s="2" t="s">
        <v>139</v>
      </c>
      <c r="B9" s="219"/>
      <c r="C9" s="219"/>
      <c r="D9" s="219"/>
      <c r="F9" s="159"/>
    </row>
    <row r="11" spans="1:6" thickBot="1" x14ac:dyDescent="0.4"/>
    <row r="12" spans="1:6" thickBot="1" x14ac:dyDescent="0.4">
      <c r="A12" s="224" t="s">
        <v>182</v>
      </c>
      <c r="B12" s="225"/>
      <c r="C12" s="225"/>
      <c r="D12" s="226"/>
    </row>
    <row r="13" spans="1:6" thickBot="1" x14ac:dyDescent="0.4">
      <c r="A13" s="220" t="s">
        <v>183</v>
      </c>
      <c r="B13" s="221"/>
      <c r="C13" s="222"/>
      <c r="D13" s="223"/>
    </row>
    <row r="14" spans="1:6" ht="14.45" x14ac:dyDescent="0.35">
      <c r="A14" s="159"/>
      <c r="B14" s="159"/>
    </row>
    <row r="15" spans="1:6" ht="14.45" x14ac:dyDescent="0.35">
      <c r="A15" s="159"/>
      <c r="B15" s="159"/>
    </row>
    <row r="16" spans="1:6" ht="14.45" x14ac:dyDescent="0.35">
      <c r="A16" s="216" t="s">
        <v>184</v>
      </c>
      <c r="B16" s="216"/>
      <c r="C16" s="216"/>
      <c r="D16" s="216"/>
    </row>
    <row r="17" spans="1:5" ht="16.5" x14ac:dyDescent="0.35">
      <c r="A17" s="160" t="s">
        <v>153</v>
      </c>
      <c r="B17" s="161" t="s">
        <v>156</v>
      </c>
      <c r="C17" s="217" t="s">
        <v>185</v>
      </c>
      <c r="D17" s="217"/>
      <c r="E17" s="195"/>
    </row>
    <row r="18" spans="1:5" ht="16.5" x14ac:dyDescent="0.35">
      <c r="A18" s="159" t="s">
        <v>167</v>
      </c>
      <c r="B18" s="110">
        <f>C13</f>
        <v>0</v>
      </c>
      <c r="C18" s="110" t="e">
        <f>VLOOKUP(B2,Table5[#All],2,FALSE)</f>
        <v>#N/A</v>
      </c>
      <c r="D18" s="114" t="e">
        <f>IF(C18&lt;B18,"✓", "✗")</f>
        <v>#N/A</v>
      </c>
      <c r="E18" s="195">
        <v>1</v>
      </c>
    </row>
    <row r="19" spans="1:5" ht="17.25" x14ac:dyDescent="0.25">
      <c r="A19" s="159" t="s">
        <v>161</v>
      </c>
      <c r="B19" s="111">
        <v>10</v>
      </c>
      <c r="C19" s="111" t="e">
        <f>VLOOKUP(B2,Table5[#All],4,FALSE)</f>
        <v>#N/A</v>
      </c>
      <c r="D19" s="114" t="e">
        <f>IF(C19&gt;=B19,"✓", "✗")</f>
        <v>#N/A</v>
      </c>
      <c r="E19" s="195">
        <v>2</v>
      </c>
    </row>
    <row r="20" spans="1:5" ht="16.5" x14ac:dyDescent="0.35">
      <c r="B20" s="6"/>
      <c r="E20" s="195"/>
    </row>
    <row r="21" spans="1:5" ht="16.5" x14ac:dyDescent="0.35">
      <c r="A21" s="160" t="s">
        <v>154</v>
      </c>
      <c r="B21" s="161" t="s">
        <v>156</v>
      </c>
      <c r="C21" s="217" t="s">
        <v>185</v>
      </c>
      <c r="D21" s="217"/>
      <c r="E21" s="195"/>
    </row>
    <row r="22" spans="1:5" ht="17.25" x14ac:dyDescent="0.25">
      <c r="A22" s="162" t="s">
        <v>231</v>
      </c>
      <c r="B22" s="213">
        <v>1500</v>
      </c>
      <c r="C22" s="112" t="e">
        <f>VLOOKUP(B2,Table5[#All],3,FALSE)</f>
        <v>#N/A</v>
      </c>
      <c r="D22" s="114" t="e">
        <f>IF(C22&lt;=B22,"✓", "✗")</f>
        <v>#N/A</v>
      </c>
      <c r="E22" s="195">
        <v>3</v>
      </c>
    </row>
    <row r="23" spans="1:5" ht="17.25" x14ac:dyDescent="0.25">
      <c r="A23" s="162" t="s">
        <v>162</v>
      </c>
      <c r="B23" s="111">
        <v>7</v>
      </c>
      <c r="C23" s="111" t="e">
        <f>VLOOKUP(B2,Table5[#All],4,FALSE)</f>
        <v>#N/A</v>
      </c>
      <c r="D23" s="114" t="e">
        <f>IF(C23&gt;=B23,"✓", "✗")</f>
        <v>#N/A</v>
      </c>
      <c r="E23" s="195">
        <v>2</v>
      </c>
    </row>
    <row r="24" spans="1:5" ht="17.25" x14ac:dyDescent="0.25">
      <c r="B24" s="6"/>
      <c r="E24" s="195"/>
    </row>
    <row r="26" spans="1:5" s="205" customFormat="1" ht="11.25" x14ac:dyDescent="0.2">
      <c r="A26" s="202" t="s">
        <v>227</v>
      </c>
      <c r="B26" s="202"/>
      <c r="C26" s="202"/>
      <c r="D26" s="203"/>
      <c r="E26" s="204"/>
    </row>
    <row r="27" spans="1:5" s="205" customFormat="1" ht="11.25" x14ac:dyDescent="0.2">
      <c r="A27" s="205" t="s">
        <v>230</v>
      </c>
      <c r="D27" s="206"/>
      <c r="E27" s="207"/>
    </row>
    <row r="28" spans="1:5" s="205" customFormat="1" ht="11.25" x14ac:dyDescent="0.2">
      <c r="A28" s="205" t="s">
        <v>228</v>
      </c>
      <c r="D28" s="206"/>
      <c r="E28" s="207"/>
    </row>
  </sheetData>
  <sheetProtection algorithmName="SHA-512" hashValue="gQ/QQYusMLqgGZVefvimSo55uxTFkUn/nnpWYbvC1v5TnztJsdmq7A2p4N1h7IBUpAFjIDXHrbT56mNMGegArg==" saltValue="EGc5FxeQ03UwZsPt9s0v6Q==" spinCount="100000" sheet="1" objects="1" scenarios="1" selectLockedCells="1"/>
  <mergeCells count="14">
    <mergeCell ref="A16:D16"/>
    <mergeCell ref="C17:D17"/>
    <mergeCell ref="C21:D21"/>
    <mergeCell ref="A1:D1"/>
    <mergeCell ref="B2:D2"/>
    <mergeCell ref="B3:D3"/>
    <mergeCell ref="B4:D4"/>
    <mergeCell ref="B5:D5"/>
    <mergeCell ref="B6:D6"/>
    <mergeCell ref="B7:D7"/>
    <mergeCell ref="B9:D9"/>
    <mergeCell ref="A13:B13"/>
    <mergeCell ref="C13:D13"/>
    <mergeCell ref="A12:D12"/>
  </mergeCells>
  <conditionalFormatting sqref="B2:B7 B9">
    <cfRule type="containsBlanks" dxfId="37" priority="8">
      <formula>LEN(TRIM(B2))=0</formula>
    </cfRule>
  </conditionalFormatting>
  <conditionalFormatting sqref="B18">
    <cfRule type="cellIs" dxfId="36" priority="1" operator="equal">
      <formula>0</formula>
    </cfRule>
    <cfRule type="containsErrors" dxfId="35" priority="7">
      <formula>ISERROR(B18)</formula>
    </cfRule>
  </conditionalFormatting>
  <conditionalFormatting sqref="C13 C22:C23">
    <cfRule type="containsErrors" dxfId="34" priority="25">
      <formula>ISERROR(C13)</formula>
    </cfRule>
  </conditionalFormatting>
  <conditionalFormatting sqref="C18">
    <cfRule type="cellIs" dxfId="33" priority="5" operator="lessThan">
      <formula>$B$18</formula>
    </cfRule>
    <cfRule type="cellIs" dxfId="32" priority="6" operator="greaterThanOrEqual">
      <formula>$B$18</formula>
    </cfRule>
  </conditionalFormatting>
  <conditionalFormatting sqref="C18:C19">
    <cfRule type="containsErrors" dxfId="31" priority="10">
      <formula>ISERROR(C18)</formula>
    </cfRule>
  </conditionalFormatting>
  <conditionalFormatting sqref="C19">
    <cfRule type="cellIs" dxfId="30" priority="23" operator="lessThan">
      <formula>$B$19</formula>
    </cfRule>
    <cfRule type="cellIs" dxfId="29" priority="24" operator="greaterThanOrEqual">
      <formula>$B$19</formula>
    </cfRule>
  </conditionalFormatting>
  <conditionalFormatting sqref="C22">
    <cfRule type="cellIs" dxfId="28" priority="21" operator="lessThanOrEqual">
      <formula>$B$22</formula>
    </cfRule>
    <cfRule type="cellIs" dxfId="27" priority="22" operator="greaterThan">
      <formula>$B$22</formula>
    </cfRule>
  </conditionalFormatting>
  <conditionalFormatting sqref="C23">
    <cfRule type="cellIs" dxfId="26" priority="15" operator="lessThan">
      <formula>$B$23</formula>
    </cfRule>
    <cfRule type="cellIs" dxfId="25" priority="16" operator="greaterThanOrEqual">
      <formula>$B$23</formula>
    </cfRule>
  </conditionalFormatting>
  <conditionalFormatting sqref="D8 D10:D11 D14:D15 D18:D20 D22:D1048576">
    <cfRule type="containsText" dxfId="24" priority="2" operator="containsText" text="✗">
      <formula>NOT(ISERROR(SEARCH("✗",D8)))</formula>
    </cfRule>
    <cfRule type="containsText" dxfId="23" priority="3" operator="containsText" text="✓">
      <formula>NOT(ISERROR(SEARCH("✓",D8)))</formula>
    </cfRule>
    <cfRule type="containsErrors" dxfId="22" priority="4">
      <formula>ISERROR(D8)</formula>
    </cfRule>
  </conditionalFormatting>
  <printOptions horizontalCentered="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 Downs'!$E$3:$E$91</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3"/>
  <sheetViews>
    <sheetView view="pageBreakPreview" zoomScaleNormal="100" zoomScaleSheetLayoutView="100" workbookViewId="0">
      <selection activeCell="A7" sqref="A7:A10"/>
    </sheetView>
  </sheetViews>
  <sheetFormatPr defaultColWidth="9.140625" defaultRowHeight="15" x14ac:dyDescent="0.25"/>
  <cols>
    <col min="1" max="1" width="13.7109375" customWidth="1"/>
    <col min="2" max="2" width="35.7109375" style="6" customWidth="1"/>
    <col min="3" max="4" width="20.7109375" style="23" customWidth="1"/>
    <col min="5" max="5" width="20.7109375" customWidth="1"/>
    <col min="6" max="6" width="20.7109375" hidden="1" customWidth="1"/>
    <col min="7" max="11" width="20.7109375" customWidth="1"/>
    <col min="12" max="12" width="20.7109375" hidden="1" customWidth="1"/>
    <col min="13" max="13" width="79.85546875" style="24" customWidth="1"/>
  </cols>
  <sheetData>
    <row r="1" spans="1:13" ht="14.45" x14ac:dyDescent="0.35">
      <c r="A1" s="227">
        <f>'1. DistrictInfo'!B2</f>
        <v>0</v>
      </c>
      <c r="B1" s="227"/>
      <c r="C1" s="227"/>
      <c r="D1" s="227"/>
      <c r="E1" s="227"/>
      <c r="F1" s="227"/>
      <c r="G1" s="227"/>
      <c r="H1" s="227"/>
      <c r="I1" s="227"/>
      <c r="J1" s="227"/>
      <c r="K1" s="227"/>
      <c r="M1"/>
    </row>
    <row r="2" spans="1:13" ht="14.45" x14ac:dyDescent="0.35">
      <c r="A2" s="228" t="s">
        <v>150</v>
      </c>
      <c r="B2" s="228"/>
      <c r="C2" s="228"/>
      <c r="D2" s="228"/>
      <c r="E2" s="228"/>
      <c r="F2" s="228"/>
      <c r="G2" s="228"/>
      <c r="H2" s="228"/>
      <c r="I2" s="228"/>
      <c r="J2" s="228"/>
      <c r="K2" s="228"/>
      <c r="M2"/>
    </row>
    <row r="3" spans="1:13" ht="14.45" x14ac:dyDescent="0.35">
      <c r="A3" s="229" t="s">
        <v>149</v>
      </c>
      <c r="B3" s="229"/>
      <c r="C3" s="229"/>
      <c r="D3" s="229"/>
      <c r="E3" s="229"/>
      <c r="F3" s="229"/>
      <c r="G3" s="229"/>
      <c r="H3" s="229"/>
      <c r="I3" s="229"/>
      <c r="J3" s="229"/>
      <c r="K3" s="229"/>
      <c r="L3" s="38"/>
      <c r="M3" s="38"/>
    </row>
    <row r="4" spans="1:13" thickBot="1" x14ac:dyDescent="0.4">
      <c r="C4" s="22"/>
      <c r="G4" s="24"/>
      <c r="I4" s="24"/>
    </row>
    <row r="5" spans="1:13" ht="14.45" x14ac:dyDescent="0.35">
      <c r="C5" s="25" t="s">
        <v>8</v>
      </c>
      <c r="D5" s="25" t="s">
        <v>8</v>
      </c>
      <c r="E5" s="25" t="s">
        <v>8</v>
      </c>
      <c r="F5" s="25" t="s">
        <v>46</v>
      </c>
      <c r="G5" s="26" t="s">
        <v>196</v>
      </c>
      <c r="H5" s="25" t="s">
        <v>9</v>
      </c>
      <c r="I5" s="25" t="s">
        <v>9</v>
      </c>
      <c r="J5" s="25" t="s">
        <v>9</v>
      </c>
      <c r="K5" s="25" t="s">
        <v>9</v>
      </c>
      <c r="L5" s="25" t="s">
        <v>49</v>
      </c>
      <c r="M5" s="156"/>
    </row>
    <row r="6" spans="1:13" s="6" customFormat="1" ht="14.45" x14ac:dyDescent="0.35">
      <c r="A6" s="27" t="s">
        <v>0</v>
      </c>
      <c r="B6" s="28" t="s">
        <v>10</v>
      </c>
      <c r="C6" s="28" t="s">
        <v>2</v>
      </c>
      <c r="D6" s="28" t="s">
        <v>3</v>
      </c>
      <c r="E6" s="29" t="s">
        <v>4</v>
      </c>
      <c r="F6" s="30" t="s">
        <v>47</v>
      </c>
      <c r="G6" s="31" t="s">
        <v>5</v>
      </c>
      <c r="H6" s="32" t="s">
        <v>6</v>
      </c>
      <c r="I6" s="29" t="s">
        <v>7</v>
      </c>
      <c r="J6" s="29" t="s">
        <v>163</v>
      </c>
      <c r="K6" s="29" t="s">
        <v>232</v>
      </c>
      <c r="L6" s="28" t="s">
        <v>48</v>
      </c>
      <c r="M6" s="37" t="s">
        <v>200</v>
      </c>
    </row>
    <row r="7" spans="1:13" x14ac:dyDescent="0.25">
      <c r="A7" s="155"/>
      <c r="B7" s="113" t="str">
        <f>IF(Table1[[#This Row],[FUND]]&gt;0,VLOOKUP(Table1[[#This Row],[FUND]],'Drop Downs'!A3:B35,2,FALSE)," ")</f>
        <v xml:space="preserve"> </v>
      </c>
      <c r="C7" s="51"/>
      <c r="D7" s="51"/>
      <c r="E7" s="51"/>
      <c r="F7" s="62"/>
      <c r="G7" s="52"/>
      <c r="H7" s="53"/>
      <c r="I7" s="51"/>
      <c r="J7" s="51"/>
      <c r="K7" s="51"/>
      <c r="L7" s="164">
        <f>SUM(Table1[[#This Row],[FY27]:[FY30]])</f>
        <v>0</v>
      </c>
      <c r="M7" s="157"/>
    </row>
    <row r="8" spans="1:13" x14ac:dyDescent="0.25">
      <c r="A8" s="155"/>
      <c r="B8" s="113" t="str">
        <f>IF(Table1[[#This Row],[FUND]]&gt;0,VLOOKUP(Table1[[#This Row],[FUND]],'Drop Downs'!A4:B36,2,FALSE)," ")</f>
        <v xml:space="preserve"> </v>
      </c>
      <c r="C8" s="51"/>
      <c r="D8" s="51"/>
      <c r="E8" s="51"/>
      <c r="F8" s="62"/>
      <c r="G8" s="52"/>
      <c r="H8" s="53"/>
      <c r="I8" s="53"/>
      <c r="J8" s="53"/>
      <c r="K8" s="53"/>
      <c r="L8" s="164">
        <f>SUM(Table1[[#This Row],[FY27]:[FY30]])</f>
        <v>0</v>
      </c>
      <c r="M8" s="157"/>
    </row>
    <row r="9" spans="1:13" x14ac:dyDescent="0.25">
      <c r="A9" s="117"/>
      <c r="B9" s="113" t="str">
        <f>IF(Table1[[#This Row],[FUND]]&gt;0,VLOOKUP(Table1[[#This Row],[FUND]],'Drop Downs'!A5:B37,2,FALSE)," ")</f>
        <v xml:space="preserve"> </v>
      </c>
      <c r="C9" s="118"/>
      <c r="D9" s="118"/>
      <c r="E9" s="118"/>
      <c r="F9" s="118"/>
      <c r="G9" s="122"/>
      <c r="H9" s="51"/>
      <c r="I9" s="51"/>
      <c r="J9" s="51"/>
      <c r="K9" s="51"/>
      <c r="L9" s="165">
        <f>SUM(Table1[[#This Row],[FY27]:[FY30]])</f>
        <v>0</v>
      </c>
      <c r="M9" s="157"/>
    </row>
    <row r="10" spans="1:13" x14ac:dyDescent="0.25">
      <c r="A10" s="117"/>
      <c r="B10" s="113" t="str">
        <f>IF(Table1[[#This Row],[FUND]]&gt;0,VLOOKUP(Table1[[#This Row],[FUND]],'Drop Downs'!A6:B38,2,FALSE)," ")</f>
        <v xml:space="preserve"> </v>
      </c>
      <c r="C10" s="118"/>
      <c r="D10" s="118"/>
      <c r="E10" s="118"/>
      <c r="F10" s="118"/>
      <c r="G10" s="122"/>
      <c r="H10" s="118"/>
      <c r="I10" s="118"/>
      <c r="J10" s="118"/>
      <c r="K10" s="118"/>
      <c r="L10" s="165">
        <f>SUM(Table1[[#This Row],[FY27]:[FY30]])</f>
        <v>0</v>
      </c>
      <c r="M10" s="157"/>
    </row>
    <row r="11" spans="1:13" x14ac:dyDescent="0.25">
      <c r="A11" s="117"/>
      <c r="B11" s="113" t="str">
        <f>IF(Table1[[#This Row],[FUND]]&gt;0,VLOOKUP(Table1[[#This Row],[FUND]],'Drop Downs'!A7:B39,2,FALSE)," ")</f>
        <v xml:space="preserve"> </v>
      </c>
      <c r="C11" s="118"/>
      <c r="D11" s="118"/>
      <c r="E11" s="118"/>
      <c r="F11" s="118"/>
      <c r="G11" s="122"/>
      <c r="H11" s="118"/>
      <c r="I11" s="118"/>
      <c r="J11" s="118"/>
      <c r="K11" s="118"/>
      <c r="L11" s="165">
        <f>SUM(Table1[[#This Row],[FY27]:[FY30]])</f>
        <v>0</v>
      </c>
      <c r="M11" s="157"/>
    </row>
    <row r="12" spans="1:13" x14ac:dyDescent="0.25">
      <c r="A12" s="117"/>
      <c r="B12" s="113" t="str">
        <f>IF(Table1[[#This Row],[FUND]]&gt;0,VLOOKUP(Table1[[#This Row],[FUND]],'Drop Downs'!A8:B40,2,FALSE)," ")</f>
        <v xml:space="preserve"> </v>
      </c>
      <c r="C12" s="118"/>
      <c r="D12" s="118"/>
      <c r="E12" s="118"/>
      <c r="F12" s="118"/>
      <c r="G12" s="122"/>
      <c r="H12" s="118"/>
      <c r="I12" s="118"/>
      <c r="J12" s="118"/>
      <c r="K12" s="118"/>
      <c r="L12" s="165">
        <f>SUM(Table1[[#This Row],[FY27]:[FY30]])</f>
        <v>0</v>
      </c>
      <c r="M12" s="157"/>
    </row>
    <row r="13" spans="1:13" x14ac:dyDescent="0.25">
      <c r="A13" s="117"/>
      <c r="B13" s="113" t="str">
        <f>IF(Table1[[#This Row],[FUND]]&gt;0,VLOOKUP(Table1[[#This Row],[FUND]],'Drop Downs'!A9:B41,2,FALSE)," ")</f>
        <v xml:space="preserve"> </v>
      </c>
      <c r="C13" s="118"/>
      <c r="D13" s="118"/>
      <c r="E13" s="118"/>
      <c r="F13" s="118">
        <f>SUM(Table1[[#This Row],[FY23]:[FY25]])</f>
        <v>0</v>
      </c>
      <c r="G13" s="122"/>
      <c r="H13" s="118"/>
      <c r="I13" s="118"/>
      <c r="J13" s="118"/>
      <c r="K13" s="118"/>
      <c r="L13" s="165">
        <f>SUM(Table1[[#This Row],[FY27]:[FY30]])</f>
        <v>0</v>
      </c>
      <c r="M13" s="157"/>
    </row>
    <row r="14" spans="1:13" x14ac:dyDescent="0.25">
      <c r="A14" s="117"/>
      <c r="B14" s="113" t="str">
        <f>IF(Table1[[#This Row],[FUND]]&gt;0,VLOOKUP(Table1[[#This Row],[FUND]],'Drop Downs'!A10:B42,2,FALSE)," ")</f>
        <v xml:space="preserve"> </v>
      </c>
      <c r="C14" s="118"/>
      <c r="D14" s="118"/>
      <c r="E14" s="118"/>
      <c r="F14" s="118">
        <f>SUM(Table1[[#This Row],[FY23]:[FY25]])</f>
        <v>0</v>
      </c>
      <c r="G14" s="122"/>
      <c r="H14" s="118"/>
      <c r="I14" s="118"/>
      <c r="J14" s="118"/>
      <c r="K14" s="118"/>
      <c r="L14" s="165">
        <f>SUM(Table1[[#This Row],[FY27]:[FY30]])</f>
        <v>0</v>
      </c>
      <c r="M14" s="157"/>
    </row>
    <row r="15" spans="1:13" x14ac:dyDescent="0.25">
      <c r="A15" s="117"/>
      <c r="B15" s="113" t="str">
        <f>IF(Table1[[#This Row],[FUND]]&gt;0,VLOOKUP(Table1[[#This Row],[FUND]],'Drop Downs'!A11:B43,2,FALSE)," ")</f>
        <v xml:space="preserve"> </v>
      </c>
      <c r="C15" s="118"/>
      <c r="D15" s="118"/>
      <c r="E15" s="118"/>
      <c r="F15" s="118">
        <f>SUM(Table1[[#This Row],[FY23]:[FY25]])</f>
        <v>0</v>
      </c>
      <c r="G15" s="122"/>
      <c r="H15" s="118"/>
      <c r="I15" s="118"/>
      <c r="J15" s="118"/>
      <c r="K15" s="118"/>
      <c r="L15" s="165">
        <f>SUM(Table1[[#This Row],[FY27]:[FY30]])</f>
        <v>0</v>
      </c>
      <c r="M15" s="157"/>
    </row>
    <row r="16" spans="1:13" x14ac:dyDescent="0.25">
      <c r="A16" s="117"/>
      <c r="B16" s="113" t="str">
        <f>IF(Table1[[#This Row],[FUND]]&gt;0,VLOOKUP(Table1[[#This Row],[FUND]],'Drop Downs'!A12:B44,2,FALSE)," ")</f>
        <v xml:space="preserve"> </v>
      </c>
      <c r="C16" s="118"/>
      <c r="D16" s="118"/>
      <c r="E16" s="118"/>
      <c r="F16" s="118">
        <f>SUM(Table1[[#This Row],[FY23]:[FY25]])</f>
        <v>0</v>
      </c>
      <c r="G16" s="122"/>
      <c r="H16" s="118"/>
      <c r="I16" s="118"/>
      <c r="J16" s="118"/>
      <c r="K16" s="118"/>
      <c r="L16" s="165">
        <f>SUM(Table1[[#This Row],[FY27]:[FY30]])</f>
        <v>0</v>
      </c>
      <c r="M16" s="157"/>
    </row>
    <row r="17" spans="1:13" x14ac:dyDescent="0.25">
      <c r="A17" s="117"/>
      <c r="B17" s="113" t="str">
        <f>IF(Table1[[#This Row],[FUND]]&gt;0,VLOOKUP(Table1[[#This Row],[FUND]],'Drop Downs'!A13:B45,2,FALSE)," ")</f>
        <v xml:space="preserve"> </v>
      </c>
      <c r="C17" s="118"/>
      <c r="D17" s="118"/>
      <c r="E17" s="118"/>
      <c r="F17" s="118">
        <f>SUM(Table1[[#This Row],[FY23]:[FY25]])</f>
        <v>0</v>
      </c>
      <c r="G17" s="122"/>
      <c r="H17" s="118"/>
      <c r="I17" s="118"/>
      <c r="J17" s="118"/>
      <c r="K17" s="118"/>
      <c r="L17" s="165">
        <f>SUM(Table1[[#This Row],[FY27]:[FY30]])</f>
        <v>0</v>
      </c>
      <c r="M17" s="157"/>
    </row>
    <row r="18" spans="1:13" x14ac:dyDescent="0.25">
      <c r="A18" s="117"/>
      <c r="B18" s="113" t="str">
        <f>IF(Table1[[#This Row],[FUND]]&gt;0,VLOOKUP(Table1[[#This Row],[FUND]],'Drop Downs'!A14:B46,2,FALSE)," ")</f>
        <v xml:space="preserve"> </v>
      </c>
      <c r="C18" s="118"/>
      <c r="D18" s="118"/>
      <c r="E18" s="118"/>
      <c r="F18" s="118">
        <f>SUM(Table1[[#This Row],[FY23]:[FY25]])</f>
        <v>0</v>
      </c>
      <c r="G18" s="122"/>
      <c r="H18" s="118"/>
      <c r="I18" s="118"/>
      <c r="J18" s="118"/>
      <c r="K18" s="118"/>
      <c r="L18" s="165">
        <f>SUM(Table1[[#This Row],[FY27]:[FY30]])</f>
        <v>0</v>
      </c>
      <c r="M18" s="157"/>
    </row>
    <row r="19" spans="1:13" x14ac:dyDescent="0.25">
      <c r="A19" s="117"/>
      <c r="B19" s="113" t="str">
        <f>IF(Table1[[#This Row],[FUND]]&gt;0,VLOOKUP(Table1[[#This Row],[FUND]],'Drop Downs'!A15:B47,2,FALSE)," ")</f>
        <v xml:space="preserve"> </v>
      </c>
      <c r="C19" s="118"/>
      <c r="D19" s="118"/>
      <c r="E19" s="118"/>
      <c r="F19" s="118">
        <f>SUM(Table1[[#This Row],[FY23]:[FY25]])</f>
        <v>0</v>
      </c>
      <c r="G19" s="122"/>
      <c r="H19" s="118"/>
      <c r="I19" s="118"/>
      <c r="J19" s="118"/>
      <c r="K19" s="118"/>
      <c r="L19" s="165">
        <f>SUM(Table1[[#This Row],[FY27]:[FY30]])</f>
        <v>0</v>
      </c>
      <c r="M19" s="157"/>
    </row>
    <row r="20" spans="1:13" x14ac:dyDescent="0.25">
      <c r="A20" s="117"/>
      <c r="B20" s="113" t="str">
        <f>IF(Table1[[#This Row],[FUND]]&gt;0,VLOOKUP(Table1[[#This Row],[FUND]],'Drop Downs'!A16:B48,2,FALSE)," ")</f>
        <v xml:space="preserve"> </v>
      </c>
      <c r="C20" s="118"/>
      <c r="D20" s="118"/>
      <c r="E20" s="118"/>
      <c r="F20" s="118">
        <f>SUM(Table1[[#This Row],[FY23]:[FY25]])</f>
        <v>0</v>
      </c>
      <c r="G20" s="122"/>
      <c r="H20" s="118"/>
      <c r="I20" s="118"/>
      <c r="J20" s="118"/>
      <c r="K20" s="118"/>
      <c r="L20" s="165">
        <f>SUM(Table1[[#This Row],[FY27]:[FY30]])</f>
        <v>0</v>
      </c>
      <c r="M20" s="157"/>
    </row>
    <row r="21" spans="1:13" x14ac:dyDescent="0.25">
      <c r="A21" s="117"/>
      <c r="B21" s="113" t="str">
        <f>IF(Table1[[#This Row],[FUND]]&gt;0,VLOOKUP(Table1[[#This Row],[FUND]],'Drop Downs'!A17:B49,2,FALSE)," ")</f>
        <v xml:space="preserve"> </v>
      </c>
      <c r="C21" s="118"/>
      <c r="D21" s="118"/>
      <c r="E21" s="118"/>
      <c r="F21" s="118">
        <f>SUM(Table1[[#This Row],[FY23]:[FY25]])</f>
        <v>0</v>
      </c>
      <c r="G21" s="123"/>
      <c r="H21" s="118"/>
      <c r="I21" s="118"/>
      <c r="J21" s="118"/>
      <c r="K21" s="118"/>
      <c r="L21" s="165">
        <f>SUM(Table1[[#This Row],[FY27]:[FY30]])</f>
        <v>0</v>
      </c>
      <c r="M21" s="157"/>
    </row>
    <row r="22" spans="1:13" x14ac:dyDescent="0.25">
      <c r="A22" s="117"/>
      <c r="B22" s="113" t="str">
        <f>IF(Table1[[#This Row],[FUND]]&gt;0,VLOOKUP(Table1[[#This Row],[FUND]],'Drop Downs'!A18:B50,2,FALSE)," ")</f>
        <v xml:space="preserve"> </v>
      </c>
      <c r="C22" s="118"/>
      <c r="D22" s="118"/>
      <c r="E22" s="118"/>
      <c r="F22" s="118">
        <f>SUM(Table1[[#This Row],[FY23]:[FY25]])</f>
        <v>0</v>
      </c>
      <c r="G22" s="123"/>
      <c r="H22" s="118"/>
      <c r="I22" s="118"/>
      <c r="J22" s="118"/>
      <c r="K22" s="118"/>
      <c r="L22" s="165">
        <f>SUM(Table1[[#This Row],[FY27]:[FY30]])</f>
        <v>0</v>
      </c>
      <c r="M22" s="157"/>
    </row>
    <row r="23" spans="1:13" x14ac:dyDescent="0.25">
      <c r="A23" s="117"/>
      <c r="B23" s="113" t="str">
        <f>IF(Table1[[#This Row],[FUND]]&gt;0,VLOOKUP(Table1[[#This Row],[FUND]],'Drop Downs'!A19:B51,2,FALSE)," ")</f>
        <v xml:space="preserve"> </v>
      </c>
      <c r="C23" s="118"/>
      <c r="D23" s="118"/>
      <c r="E23" s="118"/>
      <c r="F23" s="118">
        <f>SUM(Table1[[#This Row],[FY23]:[FY25]])</f>
        <v>0</v>
      </c>
      <c r="G23" s="123"/>
      <c r="H23" s="118"/>
      <c r="I23" s="118"/>
      <c r="J23" s="118"/>
      <c r="K23" s="118"/>
      <c r="L23" s="165">
        <f>SUM(Table1[[#This Row],[FY27]:[FY30]])</f>
        <v>0</v>
      </c>
      <c r="M23" s="157"/>
    </row>
    <row r="24" spans="1:13" x14ac:dyDescent="0.25">
      <c r="A24" s="117"/>
      <c r="B24" s="113" t="str">
        <f>IF(Table1[[#This Row],[FUND]]&gt;0,VLOOKUP(Table1[[#This Row],[FUND]],'Drop Downs'!A20:B52,2,FALSE)," ")</f>
        <v xml:space="preserve"> </v>
      </c>
      <c r="C24" s="118"/>
      <c r="D24" s="118"/>
      <c r="E24" s="118"/>
      <c r="F24" s="118">
        <f>SUM(Table1[[#This Row],[FY23]:[FY25]])</f>
        <v>0</v>
      </c>
      <c r="G24" s="122"/>
      <c r="H24" s="118"/>
      <c r="I24" s="118"/>
      <c r="J24" s="118"/>
      <c r="K24" s="118"/>
      <c r="L24" s="165">
        <f>SUM(Table1[[#This Row],[FY27]:[FY30]])</f>
        <v>0</v>
      </c>
      <c r="M24" s="157"/>
    </row>
    <row r="25" spans="1:13" x14ac:dyDescent="0.25">
      <c r="A25" s="117"/>
      <c r="B25" s="113" t="str">
        <f>IF(Table1[[#This Row],[FUND]]&gt;0,VLOOKUP(Table1[[#This Row],[FUND]],'Drop Downs'!A21:B53,2,FALSE)," ")</f>
        <v xml:space="preserve"> </v>
      </c>
      <c r="C25" s="118"/>
      <c r="D25" s="118"/>
      <c r="E25" s="118"/>
      <c r="F25" s="118">
        <f>SUM(Table1[[#This Row],[FY23]:[FY25]])</f>
        <v>0</v>
      </c>
      <c r="G25" s="122"/>
      <c r="H25" s="118"/>
      <c r="I25" s="118"/>
      <c r="J25" s="118"/>
      <c r="K25" s="118"/>
      <c r="L25" s="165">
        <f>SUM(Table1[[#This Row],[FY27]:[FY30]])</f>
        <v>0</v>
      </c>
      <c r="M25" s="157"/>
    </row>
    <row r="26" spans="1:13" x14ac:dyDescent="0.25">
      <c r="A26" s="117"/>
      <c r="B26" s="113" t="str">
        <f>IF(Table1[[#This Row],[FUND]]&gt;0,VLOOKUP(Table1[[#This Row],[FUND]],'Drop Downs'!A22:B54,2,FALSE)," ")</f>
        <v xml:space="preserve"> </v>
      </c>
      <c r="C26" s="118"/>
      <c r="D26" s="118"/>
      <c r="E26" s="118"/>
      <c r="F26" s="118">
        <f>SUM(Table1[[#This Row],[FY23]:[FY25]])</f>
        <v>0</v>
      </c>
      <c r="G26" s="122"/>
      <c r="H26" s="118"/>
      <c r="I26" s="118"/>
      <c r="J26" s="118"/>
      <c r="K26" s="118"/>
      <c r="L26" s="165">
        <f>SUM(Table1[[#This Row],[FY27]:[FY30]])</f>
        <v>0</v>
      </c>
      <c r="M26" s="157"/>
    </row>
    <row r="27" spans="1:13" x14ac:dyDescent="0.25">
      <c r="A27" s="117"/>
      <c r="B27" s="113" t="str">
        <f>IF(Table1[[#This Row],[FUND]]&gt;0,VLOOKUP(Table1[[#This Row],[FUND]],'Drop Downs'!A23:B55,2,FALSE)," ")</f>
        <v xml:space="preserve"> </v>
      </c>
      <c r="C27" s="118"/>
      <c r="D27" s="118"/>
      <c r="E27" s="118"/>
      <c r="F27" s="118">
        <f>SUM(Table1[[#This Row],[FY23]:[FY25]])</f>
        <v>0</v>
      </c>
      <c r="G27" s="122"/>
      <c r="H27" s="118"/>
      <c r="I27" s="118"/>
      <c r="J27" s="118"/>
      <c r="K27" s="118"/>
      <c r="L27" s="165">
        <f>SUM(Table1[[#This Row],[FY27]:[FY30]])</f>
        <v>0</v>
      </c>
      <c r="M27" s="157"/>
    </row>
    <row r="28" spans="1:13" x14ac:dyDescent="0.25">
      <c r="A28" s="117"/>
      <c r="B28" s="113" t="str">
        <f>IF(Table1[[#This Row],[FUND]]&gt;0,VLOOKUP(Table1[[#This Row],[FUND]],'Drop Downs'!A24:B56,2,FALSE)," ")</f>
        <v xml:space="preserve"> </v>
      </c>
      <c r="C28" s="118"/>
      <c r="D28" s="118"/>
      <c r="E28" s="118"/>
      <c r="F28" s="118">
        <f>SUM(Table1[[#This Row],[FY23]:[FY25]])</f>
        <v>0</v>
      </c>
      <c r="G28" s="122"/>
      <c r="H28" s="118"/>
      <c r="I28" s="118"/>
      <c r="J28" s="118"/>
      <c r="K28" s="118"/>
      <c r="L28" s="165">
        <f>SUM(Table1[[#This Row],[FY27]:[FY30]])</f>
        <v>0</v>
      </c>
      <c r="M28" s="157"/>
    </row>
    <row r="29" spans="1:13" x14ac:dyDescent="0.25">
      <c r="A29" s="117"/>
      <c r="B29" s="113" t="str">
        <f>IF(Table1[[#This Row],[FUND]]&gt;0,VLOOKUP(Table1[[#This Row],[FUND]],'Drop Downs'!A25:B57,2,FALSE)," ")</f>
        <v xml:space="preserve"> </v>
      </c>
      <c r="C29" s="118"/>
      <c r="D29" s="118"/>
      <c r="E29" s="118"/>
      <c r="F29" s="118">
        <f>SUM(Table1[[#This Row],[FY23]:[FY25]])</f>
        <v>0</v>
      </c>
      <c r="G29" s="123"/>
      <c r="H29" s="118"/>
      <c r="I29" s="118"/>
      <c r="J29" s="118"/>
      <c r="K29" s="118"/>
      <c r="L29" s="165">
        <f>SUM(Table1[[#This Row],[FY27]:[FY30]])</f>
        <v>0</v>
      </c>
      <c r="M29" s="157"/>
    </row>
    <row r="30" spans="1:13" ht="14.45" x14ac:dyDescent="0.35">
      <c r="A30" s="155"/>
      <c r="B30" s="113" t="str">
        <f>IF(Table1[[#This Row],[FUND]]&gt;0,VLOOKUP(Table1[[#This Row],[FUND]],'Drop Downs'!A26:B58,2,FALSE)," ")</f>
        <v xml:space="preserve"> </v>
      </c>
      <c r="C30" s="51"/>
      <c r="D30" s="51"/>
      <c r="E30" s="51"/>
      <c r="F30" s="62">
        <f>SUM(Table1[[#This Row],[FY23]:[FY25]])</f>
        <v>0</v>
      </c>
      <c r="G30" s="52"/>
      <c r="H30" s="53"/>
      <c r="I30" s="51"/>
      <c r="J30" s="51"/>
      <c r="K30" s="51"/>
      <c r="L30" s="164">
        <f>SUM(Table1[[#This Row],[FY27]:[FY30]])</f>
        <v>0</v>
      </c>
      <c r="M30" s="157"/>
    </row>
    <row r="31" spans="1:13" ht="14.45" x14ac:dyDescent="0.35">
      <c r="A31" s="155"/>
      <c r="B31" s="113" t="str">
        <f>IF(Table1[[#This Row],[FUND]]&gt;0,VLOOKUP(Table1[[#This Row],[FUND]],'Drop Downs'!A27:B59,2,FALSE)," ")</f>
        <v xml:space="preserve"> </v>
      </c>
      <c r="C31" s="51"/>
      <c r="D31" s="51"/>
      <c r="E31" s="51"/>
      <c r="F31" s="62">
        <f>SUM(Table1[[#This Row],[FY23]:[FY25]])</f>
        <v>0</v>
      </c>
      <c r="G31" s="52"/>
      <c r="H31" s="53"/>
      <c r="I31" s="51"/>
      <c r="J31" s="51"/>
      <c r="K31" s="51"/>
      <c r="L31" s="164">
        <f>SUM(Table1[[#This Row],[FY27]:[FY30]])</f>
        <v>0</v>
      </c>
      <c r="M31" s="157"/>
    </row>
    <row r="32" spans="1:13" ht="14.45" x14ac:dyDescent="0.35">
      <c r="A32" s="155"/>
      <c r="B32" s="113" t="str">
        <f>IF(Table1[[#This Row],[FUND]]&gt;0,VLOOKUP(Table1[[#This Row],[FUND]],'Drop Downs'!A28:B60,2,FALSE)," ")</f>
        <v xml:space="preserve"> </v>
      </c>
      <c r="C32" s="51"/>
      <c r="D32" s="51"/>
      <c r="E32" s="51"/>
      <c r="F32" s="62">
        <f>SUM(Table1[[#This Row],[FY23]:[FY25]])</f>
        <v>0</v>
      </c>
      <c r="G32" s="52"/>
      <c r="H32" s="53"/>
      <c r="I32" s="51"/>
      <c r="J32" s="51"/>
      <c r="K32" s="51"/>
      <c r="L32" s="164">
        <f>SUM(Table1[[#This Row],[FY27]:[FY30]])</f>
        <v>0</v>
      </c>
      <c r="M32" s="157"/>
    </row>
    <row r="33" spans="1:13" ht="14.45" x14ac:dyDescent="0.35">
      <c r="A33" s="155"/>
      <c r="B33" s="113" t="str">
        <f>IF(Table1[[#This Row],[FUND]]&gt;0,VLOOKUP(Table1[[#This Row],[FUND]],'Drop Downs'!A29:B61,2,FALSE)," ")</f>
        <v xml:space="preserve"> </v>
      </c>
      <c r="C33" s="51"/>
      <c r="D33" s="51"/>
      <c r="E33" s="51"/>
      <c r="F33" s="62">
        <f>SUM(Table1[[#This Row],[FY23]:[FY25]])</f>
        <v>0</v>
      </c>
      <c r="G33" s="52"/>
      <c r="H33" s="53"/>
      <c r="I33" s="51"/>
      <c r="J33" s="51"/>
      <c r="K33" s="51"/>
      <c r="L33" s="164">
        <f>SUM(Table1[[#This Row],[FY27]:[FY30]])</f>
        <v>0</v>
      </c>
      <c r="M33" s="157"/>
    </row>
    <row r="34" spans="1:13" ht="14.45" x14ac:dyDescent="0.35">
      <c r="A34" s="155"/>
      <c r="B34" s="113" t="str">
        <f>IF(Table1[[#This Row],[FUND]]&gt;0,VLOOKUP(Table1[[#This Row],[FUND]],'Drop Downs'!A30:B62,2,FALSE)," ")</f>
        <v xml:space="preserve"> </v>
      </c>
      <c r="C34" s="51"/>
      <c r="D34" s="51"/>
      <c r="E34" s="51"/>
      <c r="F34" s="62">
        <f>SUM(Table1[[#This Row],[FY23]:[FY25]])</f>
        <v>0</v>
      </c>
      <c r="G34" s="52"/>
      <c r="H34" s="53"/>
      <c r="I34" s="51"/>
      <c r="J34" s="51"/>
      <c r="K34" s="51"/>
      <c r="L34" s="164">
        <f>SUM(Table1[[#This Row],[FY27]:[FY30]])</f>
        <v>0</v>
      </c>
      <c r="M34" s="157"/>
    </row>
    <row r="35" spans="1:13" ht="14.45" x14ac:dyDescent="0.35">
      <c r="A35" s="155"/>
      <c r="B35" s="113" t="str">
        <f>IF(Table1[[#This Row],[FUND]]&gt;0,VLOOKUP(Table1[[#This Row],[FUND]],'Drop Downs'!A31:B63,2,FALSE)," ")</f>
        <v xml:space="preserve"> </v>
      </c>
      <c r="C35" s="51"/>
      <c r="D35" s="51"/>
      <c r="E35" s="51"/>
      <c r="F35" s="62">
        <f>SUM(Table1[[#This Row],[FY23]:[FY25]])</f>
        <v>0</v>
      </c>
      <c r="G35" s="52"/>
      <c r="H35" s="53"/>
      <c r="I35" s="51"/>
      <c r="J35" s="51"/>
      <c r="K35" s="51"/>
      <c r="L35" s="164">
        <f>SUM(Table1[[#This Row],[FY27]:[FY30]])</f>
        <v>0</v>
      </c>
      <c r="M35" s="157"/>
    </row>
    <row r="36" spans="1:13" ht="14.45" x14ac:dyDescent="0.35">
      <c r="A36" s="155"/>
      <c r="B36" s="113" t="str">
        <f>IF(Table1[[#This Row],[FUND]]&gt;0,VLOOKUP(Table1[[#This Row],[FUND]],'Drop Downs'!A32:B64,2,FALSE)," ")</f>
        <v xml:space="preserve"> </v>
      </c>
      <c r="C36" s="51"/>
      <c r="D36" s="51"/>
      <c r="E36" s="51"/>
      <c r="F36" s="62">
        <f>SUM(Table1[[#This Row],[FY23]:[FY25]])</f>
        <v>0</v>
      </c>
      <c r="G36" s="52"/>
      <c r="H36" s="53"/>
      <c r="I36" s="51"/>
      <c r="J36" s="51"/>
      <c r="K36" s="51"/>
      <c r="L36" s="164">
        <f>SUM(Table1[[#This Row],[FY27]:[FY30]])</f>
        <v>0</v>
      </c>
      <c r="M36" s="157"/>
    </row>
    <row r="37" spans="1:13" x14ac:dyDescent="0.25">
      <c r="A37" s="155"/>
      <c r="B37" s="113" t="str">
        <f>IF(Table1[[#This Row],[FUND]]&gt;0,VLOOKUP(Table1[[#This Row],[FUND]],'Drop Downs'!A33:B65,2,FALSE)," ")</f>
        <v xml:space="preserve"> </v>
      </c>
      <c r="C37" s="51"/>
      <c r="D37" s="51"/>
      <c r="E37" s="51"/>
      <c r="F37" s="62">
        <f>SUM(Table1[[#This Row],[FY23]:[FY25]])</f>
        <v>0</v>
      </c>
      <c r="G37" s="52"/>
      <c r="H37" s="53"/>
      <c r="I37" s="51"/>
      <c r="J37" s="51"/>
      <c r="K37" s="51"/>
      <c r="L37" s="164">
        <f>SUM(Table1[[#This Row],[FY27]:[FY30]])</f>
        <v>0</v>
      </c>
      <c r="M37" s="157"/>
    </row>
    <row r="38" spans="1:13" ht="15.75" thickBot="1" x14ac:dyDescent="0.3">
      <c r="A38" s="155"/>
      <c r="B38" s="113" t="str">
        <f>IF(Table1[[#This Row],[FUND]]&gt;0,VLOOKUP(Table1[[#This Row],[FUND]],'Drop Downs'!A34:B66,2,FALSE)," ")</f>
        <v xml:space="preserve"> </v>
      </c>
      <c r="C38" s="54"/>
      <c r="D38" s="54"/>
      <c r="E38" s="54"/>
      <c r="F38" s="63">
        <f>SUM(Table1[[#This Row],[FY23]:[FY25]])</f>
        <v>0</v>
      </c>
      <c r="G38" s="55"/>
      <c r="H38" s="56"/>
      <c r="I38" s="54"/>
      <c r="J38" s="54"/>
      <c r="K38" s="54"/>
      <c r="L38" s="166">
        <f>SUM(Table1[[#This Row],[FY27]:[FY30]])</f>
        <v>0</v>
      </c>
      <c r="M38" s="158"/>
    </row>
    <row r="40" spans="1:13" x14ac:dyDescent="0.25">
      <c r="C40" s="57" t="str">
        <f>Table1[[#Headers],[FY23]]</f>
        <v>FY23</v>
      </c>
      <c r="D40" s="57" t="str">
        <f>Table1[[#Headers],[FY24]]</f>
        <v>FY24</v>
      </c>
      <c r="E40" s="57" t="str">
        <f>Table1[[#Headers],[FY25]]</f>
        <v>FY25</v>
      </c>
      <c r="F40" s="57" t="str">
        <f>Table1[[#Headers],[Total Actuals]]</f>
        <v>Total Actuals</v>
      </c>
      <c r="G40" s="57" t="str">
        <f>Table1[[#Headers],[FY26]]</f>
        <v>FY26</v>
      </c>
      <c r="H40" s="57" t="str">
        <f>Table1[[#Headers],[FY27]]</f>
        <v>FY27</v>
      </c>
      <c r="I40" s="57" t="str">
        <f>Table1[[#Headers],[FY28]]</f>
        <v>FY28</v>
      </c>
      <c r="J40" s="57" t="str">
        <f>Table1[[#Headers],[FY29]]</f>
        <v>FY29</v>
      </c>
      <c r="K40" s="57" t="str">
        <f>Table1[[#Headers],[FY30]]</f>
        <v>FY30</v>
      </c>
    </row>
    <row r="41" spans="1:13" x14ac:dyDescent="0.25">
      <c r="B41" s="34" t="s">
        <v>142</v>
      </c>
      <c r="C41" s="33">
        <f>SUM(Table1[FY23])</f>
        <v>0</v>
      </c>
      <c r="D41" s="33">
        <f>SUM(Table1[FY24])</f>
        <v>0</v>
      </c>
      <c r="E41" s="33">
        <f>SUM(Table1[FY25])</f>
        <v>0</v>
      </c>
      <c r="F41" s="33">
        <f>SUM(Table1[Total Actuals])</f>
        <v>0</v>
      </c>
      <c r="G41" s="33">
        <f>SUM(Table1[FY26])</f>
        <v>0</v>
      </c>
      <c r="H41" s="33">
        <f>SUM(Table1[FY27])</f>
        <v>0</v>
      </c>
      <c r="I41" s="33">
        <f>SUM(Table1[FY28])</f>
        <v>0</v>
      </c>
      <c r="J41" s="33">
        <f>SUM(Table1[FY29])</f>
        <v>0</v>
      </c>
      <c r="K41" s="33">
        <f>SUM(Table1[FY30])</f>
        <v>0</v>
      </c>
    </row>
    <row r="42" spans="1:13" ht="15.75" thickBot="1" x14ac:dyDescent="0.3">
      <c r="B42" s="58" t="s">
        <v>143</v>
      </c>
      <c r="C42" s="59">
        <f>'3. UsesDetail'!C42</f>
        <v>0</v>
      </c>
      <c r="D42" s="59">
        <f>'3. UsesDetail'!D42</f>
        <v>0</v>
      </c>
      <c r="E42" s="59">
        <f>'3. UsesDetail'!E42</f>
        <v>0</v>
      </c>
      <c r="F42" s="59">
        <f>'3. UsesDetail'!F42</f>
        <v>0</v>
      </c>
      <c r="G42" s="59">
        <f>'3. UsesDetail'!G42</f>
        <v>0</v>
      </c>
      <c r="H42" s="59">
        <f>'3. UsesDetail'!H42</f>
        <v>0</v>
      </c>
      <c r="I42" s="59">
        <f>'3. UsesDetail'!I42</f>
        <v>0</v>
      </c>
      <c r="J42" s="59">
        <f>'3. UsesDetail'!J42</f>
        <v>0</v>
      </c>
      <c r="K42" s="59">
        <f>'3. UsesDetail'!K42</f>
        <v>0</v>
      </c>
    </row>
    <row r="43" spans="1:13" ht="15.75" thickTop="1" x14ac:dyDescent="0.25">
      <c r="B43" s="60" t="s">
        <v>144</v>
      </c>
      <c r="C43" s="61">
        <f>C41-C42</f>
        <v>0</v>
      </c>
      <c r="D43" s="61">
        <f t="shared" ref="D43:K43" si="0">D41-D42</f>
        <v>0</v>
      </c>
      <c r="E43" s="61">
        <f t="shared" si="0"/>
        <v>0</v>
      </c>
      <c r="F43" s="61">
        <f t="shared" si="0"/>
        <v>0</v>
      </c>
      <c r="G43" s="61">
        <f t="shared" si="0"/>
        <v>0</v>
      </c>
      <c r="H43" s="61">
        <f t="shared" si="0"/>
        <v>0</v>
      </c>
      <c r="I43" s="61">
        <f t="shared" si="0"/>
        <v>0</v>
      </c>
      <c r="J43" s="61">
        <f t="shared" si="0"/>
        <v>0</v>
      </c>
      <c r="K43" s="61">
        <f t="shared" si="0"/>
        <v>0</v>
      </c>
    </row>
  </sheetData>
  <sheetProtection algorithmName="SHA-512" hashValue="QuMPl8OHLcxi08HUlKLLyBJGf/gc+hVaQskCfWMQ7gX2osDOBP4rHsfSai3VDI6JLqQ504oOH97aP9YI5Mr62w==" saltValue="H1f7tosKAYKriLe+sGKhYA==" spinCount="100000" sheet="1" objects="1" scenarios="1" selectLockedCells="1"/>
  <mergeCells count="3">
    <mergeCell ref="A1:K1"/>
    <mergeCell ref="A2:K2"/>
    <mergeCell ref="A3:K3"/>
  </mergeCells>
  <conditionalFormatting sqref="A1 L1:M1">
    <cfRule type="cellIs" dxfId="21" priority="3" operator="equal">
      <formula>0</formula>
    </cfRule>
  </conditionalFormatting>
  <conditionalFormatting sqref="A7:A38 C7:K38">
    <cfRule type="containsBlanks" dxfId="20" priority="2">
      <formula>LEN(TRIM(A7))=0</formula>
    </cfRule>
  </conditionalFormatting>
  <conditionalFormatting sqref="M7:M38">
    <cfRule type="containsBlanks" dxfId="19" priority="1">
      <formula>LEN(TRIM(M7))=0</formula>
    </cfRule>
  </conditionalFormatting>
  <pageMargins left="0.7" right="0.7" top="0.75" bottom="0.75" header="0.3" footer="0.3"/>
  <pageSetup paperSize="3" scale="9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 Downs'!$A$3:$A$35</xm:f>
          </x14:formula1>
          <xm:sqref>A7:A38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3"/>
  <sheetViews>
    <sheetView view="pageBreakPreview" zoomScale="130" zoomScaleNormal="100" zoomScaleSheetLayoutView="130" workbookViewId="0">
      <selection activeCell="A7" sqref="A7"/>
    </sheetView>
  </sheetViews>
  <sheetFormatPr defaultColWidth="9.140625" defaultRowHeight="15" x14ac:dyDescent="0.25"/>
  <cols>
    <col min="1" max="1" width="13.7109375" style="6" customWidth="1"/>
    <col min="2" max="2" width="35.7109375" style="6" customWidth="1"/>
    <col min="3" max="5" width="20.7109375" style="23" customWidth="1"/>
    <col min="6" max="6" width="20.7109375" style="23" hidden="1" customWidth="1"/>
    <col min="7" max="11" width="20.7109375" style="23" customWidth="1"/>
    <col min="12" max="12" width="20.7109375" hidden="1" customWidth="1"/>
    <col min="13" max="13" width="78.140625" style="24" customWidth="1"/>
  </cols>
  <sheetData>
    <row r="1" spans="1:13" ht="14.45" x14ac:dyDescent="0.35">
      <c r="A1" s="227">
        <f>'1. DistrictInfo'!B2</f>
        <v>0</v>
      </c>
      <c r="B1" s="227"/>
      <c r="C1" s="227"/>
      <c r="D1" s="227"/>
      <c r="E1" s="227"/>
      <c r="F1" s="227"/>
      <c r="G1" s="227"/>
      <c r="H1" s="227"/>
      <c r="I1" s="227"/>
      <c r="J1" s="227"/>
      <c r="K1" s="227"/>
      <c r="M1"/>
    </row>
    <row r="2" spans="1:13" ht="14.45" x14ac:dyDescent="0.35">
      <c r="A2" s="228" t="s">
        <v>151</v>
      </c>
      <c r="B2" s="228"/>
      <c r="C2" s="228"/>
      <c r="D2" s="228"/>
      <c r="E2" s="228"/>
      <c r="F2" s="228"/>
      <c r="G2" s="228"/>
      <c r="H2" s="228"/>
      <c r="I2" s="228"/>
      <c r="J2" s="228"/>
      <c r="K2" s="228"/>
      <c r="M2"/>
    </row>
    <row r="3" spans="1:13" ht="14.45" x14ac:dyDescent="0.35">
      <c r="A3" s="229" t="s">
        <v>149</v>
      </c>
      <c r="B3" s="229"/>
      <c r="C3" s="229"/>
      <c r="D3" s="229"/>
      <c r="E3" s="229"/>
      <c r="F3" s="229"/>
      <c r="G3" s="229"/>
      <c r="H3" s="229"/>
      <c r="I3" s="229"/>
      <c r="J3" s="229"/>
      <c r="K3" s="229"/>
      <c r="L3" s="38"/>
      <c r="M3" s="38"/>
    </row>
    <row r="4" spans="1:13" thickBot="1" x14ac:dyDescent="0.4">
      <c r="A4" s="21"/>
      <c r="C4" s="22"/>
      <c r="G4" s="22"/>
      <c r="I4" s="22"/>
    </row>
    <row r="5" spans="1:13" ht="14.45" x14ac:dyDescent="0.35">
      <c r="A5"/>
      <c r="C5" s="25" t="s">
        <v>8</v>
      </c>
      <c r="D5" s="25" t="s">
        <v>8</v>
      </c>
      <c r="E5" s="25" t="s">
        <v>8</v>
      </c>
      <c r="F5" s="25" t="s">
        <v>46</v>
      </c>
      <c r="G5" s="26" t="s">
        <v>196</v>
      </c>
      <c r="H5" s="25" t="s">
        <v>9</v>
      </c>
      <c r="I5" s="25" t="s">
        <v>9</v>
      </c>
      <c r="J5" s="25" t="s">
        <v>9</v>
      </c>
      <c r="K5" s="25" t="s">
        <v>9</v>
      </c>
      <c r="L5" s="25" t="s">
        <v>49</v>
      </c>
      <c r="M5" s="126"/>
    </row>
    <row r="6" spans="1:13" s="6" customFormat="1" ht="14.45" x14ac:dyDescent="0.35">
      <c r="A6" s="167" t="s">
        <v>0</v>
      </c>
      <c r="B6" s="168" t="s">
        <v>10</v>
      </c>
      <c r="C6" s="169" t="s">
        <v>2</v>
      </c>
      <c r="D6" s="169" t="s">
        <v>3</v>
      </c>
      <c r="E6" s="169" t="s">
        <v>4</v>
      </c>
      <c r="F6" s="170" t="s">
        <v>47</v>
      </c>
      <c r="G6" s="171" t="s">
        <v>5</v>
      </c>
      <c r="H6" s="172" t="s">
        <v>6</v>
      </c>
      <c r="I6" s="169" t="s">
        <v>7</v>
      </c>
      <c r="J6" s="169" t="s">
        <v>163</v>
      </c>
      <c r="K6" s="169" t="s">
        <v>232</v>
      </c>
      <c r="L6" s="168" t="s">
        <v>48</v>
      </c>
      <c r="M6" s="173" t="s">
        <v>200</v>
      </c>
    </row>
    <row r="7" spans="1:13" x14ac:dyDescent="0.25">
      <c r="A7" s="64"/>
      <c r="B7" s="175" t="str">
        <f>IF(Table13[[#This Row],[FUND]]&gt;0,VLOOKUP(Table13[[#This Row],[FUND]],'Drop Downs'!A3:B35,2,FALSE), " ")</f>
        <v xml:space="preserve"> </v>
      </c>
      <c r="C7" s="65"/>
      <c r="D7" s="65"/>
      <c r="E7" s="65"/>
      <c r="F7" s="66"/>
      <c r="G7" s="67"/>
      <c r="H7" s="68"/>
      <c r="I7" s="65"/>
      <c r="J7" s="65"/>
      <c r="K7" s="65"/>
      <c r="L7" s="69"/>
      <c r="M7" s="157"/>
    </row>
    <row r="8" spans="1:13" x14ac:dyDescent="0.25">
      <c r="A8" s="64"/>
      <c r="B8" s="175" t="str">
        <f>IF(Table13[[#This Row],[FUND]]&gt;0,VLOOKUP(Table13[[#This Row],[FUND]],'Drop Downs'!A4:B36,2,FALSE), " ")</f>
        <v xml:space="preserve"> </v>
      </c>
      <c r="C8" s="65"/>
      <c r="D8" s="65"/>
      <c r="E8" s="65"/>
      <c r="F8" s="66"/>
      <c r="G8" s="67"/>
      <c r="H8" s="68"/>
      <c r="I8" s="68"/>
      <c r="J8" s="68"/>
      <c r="K8" s="68"/>
      <c r="L8" s="69"/>
      <c r="M8" s="157"/>
    </row>
    <row r="9" spans="1:13" x14ac:dyDescent="0.25">
      <c r="A9" s="64"/>
      <c r="B9" s="175" t="str">
        <f>IF(Table13[[#This Row],[FUND]]&gt;0,VLOOKUP(Table13[[#This Row],[FUND]],'Drop Downs'!A5:B37,2,FALSE), " ")</f>
        <v xml:space="preserve"> </v>
      </c>
      <c r="C9" s="65"/>
      <c r="D9" s="65"/>
      <c r="E9" s="65"/>
      <c r="F9" s="66"/>
      <c r="G9" s="67"/>
      <c r="H9" s="68"/>
      <c r="I9" s="68"/>
      <c r="J9" s="68"/>
      <c r="K9" s="68"/>
      <c r="L9" s="69"/>
      <c r="M9" s="157"/>
    </row>
    <row r="10" spans="1:13" x14ac:dyDescent="0.25">
      <c r="A10" s="64"/>
      <c r="B10" s="175" t="str">
        <f>IF(Table13[[#This Row],[FUND]]&gt;0,VLOOKUP(Table13[[#This Row],[FUND]],'Drop Downs'!A6:B38,2,FALSE), " ")</f>
        <v xml:space="preserve"> </v>
      </c>
      <c r="C10" s="65"/>
      <c r="D10" s="65"/>
      <c r="E10" s="65"/>
      <c r="F10" s="66"/>
      <c r="G10" s="67"/>
      <c r="H10" s="68"/>
      <c r="I10" s="65"/>
      <c r="J10" s="65"/>
      <c r="K10" s="65"/>
      <c r="L10" s="69"/>
      <c r="M10" s="157"/>
    </row>
    <row r="11" spans="1:13" x14ac:dyDescent="0.25">
      <c r="A11" s="119"/>
      <c r="B11" s="175" t="str">
        <f>IF(Table13[[#This Row],[FUND]]&gt;0,VLOOKUP(Table13[[#This Row],[FUND]],'Drop Downs'!A7:B39,2,FALSE), " ")</f>
        <v xml:space="preserve"> </v>
      </c>
      <c r="C11" s="120"/>
      <c r="D11" s="65"/>
      <c r="E11" s="120"/>
      <c r="F11" s="120"/>
      <c r="G11" s="124"/>
      <c r="H11" s="120"/>
      <c r="I11" s="120"/>
      <c r="J11" s="120"/>
      <c r="K11" s="120"/>
      <c r="L11" s="121"/>
      <c r="M11" s="157"/>
    </row>
    <row r="12" spans="1:13" x14ac:dyDescent="0.25">
      <c r="A12" s="119"/>
      <c r="B12" s="175" t="str">
        <f>IF(Table13[[#This Row],[FUND]]&gt;0,VLOOKUP(Table13[[#This Row],[FUND]],'Drop Downs'!A8:B40,2,FALSE), " ")</f>
        <v xml:space="preserve"> </v>
      </c>
      <c r="C12" s="120"/>
      <c r="D12" s="120"/>
      <c r="E12" s="120"/>
      <c r="F12" s="120"/>
      <c r="G12" s="124"/>
      <c r="H12" s="120"/>
      <c r="I12" s="120"/>
      <c r="J12" s="120"/>
      <c r="K12" s="120"/>
      <c r="L12" s="121"/>
      <c r="M12" s="157"/>
    </row>
    <row r="13" spans="1:13" x14ac:dyDescent="0.25">
      <c r="A13" s="119"/>
      <c r="B13" s="175" t="str">
        <f>IF(Table13[[#This Row],[FUND]]&gt;0,VLOOKUP(Table13[[#This Row],[FUND]],'Drop Downs'!A9:B41,2,FALSE), " ")</f>
        <v xml:space="preserve"> </v>
      </c>
      <c r="C13" s="120"/>
      <c r="D13" s="120"/>
      <c r="E13" s="65"/>
      <c r="F13" s="120"/>
      <c r="G13" s="124"/>
      <c r="H13" s="120"/>
      <c r="I13" s="120"/>
      <c r="J13" s="120"/>
      <c r="K13" s="120"/>
      <c r="L13" s="121"/>
      <c r="M13" s="157"/>
    </row>
    <row r="14" spans="1:13" x14ac:dyDescent="0.25">
      <c r="A14" s="119"/>
      <c r="B14" s="175" t="str">
        <f>IF(Table13[[#This Row],[FUND]]&gt;0,VLOOKUP(Table13[[#This Row],[FUND]],'Drop Downs'!A10:B42,2,FALSE), " ")</f>
        <v xml:space="preserve"> </v>
      </c>
      <c r="C14" s="120"/>
      <c r="D14" s="120"/>
      <c r="E14" s="120"/>
      <c r="F14" s="120"/>
      <c r="G14" s="124"/>
      <c r="H14" s="120"/>
      <c r="I14" s="120"/>
      <c r="J14" s="120"/>
      <c r="K14" s="120"/>
      <c r="L14" s="121"/>
      <c r="M14" s="157"/>
    </row>
    <row r="15" spans="1:13" x14ac:dyDescent="0.25">
      <c r="A15" s="119"/>
      <c r="B15" s="175" t="str">
        <f>IF(Table13[[#This Row],[FUND]]&gt;0,VLOOKUP(Table13[[#This Row],[FUND]],'Drop Downs'!A11:B43,2,FALSE), " ")</f>
        <v xml:space="preserve"> </v>
      </c>
      <c r="C15" s="120"/>
      <c r="D15" s="120"/>
      <c r="E15" s="120"/>
      <c r="F15" s="120"/>
      <c r="G15" s="124"/>
      <c r="H15" s="120"/>
      <c r="I15" s="120"/>
      <c r="J15" s="120"/>
      <c r="K15" s="120"/>
      <c r="L15" s="121"/>
      <c r="M15" s="157"/>
    </row>
    <row r="16" spans="1:13" x14ac:dyDescent="0.25">
      <c r="A16" s="119"/>
      <c r="B16" s="175" t="str">
        <f>IF(Table13[[#This Row],[FUND]]&gt;0,VLOOKUP(Table13[[#This Row],[FUND]],'Drop Downs'!A12:B44,2,FALSE), " ")</f>
        <v xml:space="preserve"> </v>
      </c>
      <c r="C16" s="120"/>
      <c r="D16" s="120"/>
      <c r="E16" s="120"/>
      <c r="F16" s="120"/>
      <c r="G16" s="124"/>
      <c r="H16" s="120"/>
      <c r="I16" s="120"/>
      <c r="J16" s="120"/>
      <c r="K16" s="120"/>
      <c r="L16" s="121"/>
      <c r="M16" s="157"/>
    </row>
    <row r="17" spans="1:13" x14ac:dyDescent="0.25">
      <c r="A17" s="119"/>
      <c r="B17" s="175" t="str">
        <f>IF(Table13[[#This Row],[FUND]]&gt;0,VLOOKUP(Table13[[#This Row],[FUND]],'Drop Downs'!A13:B45,2,FALSE), " ")</f>
        <v xml:space="preserve"> </v>
      </c>
      <c r="C17" s="120"/>
      <c r="D17" s="120"/>
      <c r="E17" s="120"/>
      <c r="F17" s="120"/>
      <c r="G17" s="124"/>
      <c r="H17" s="120"/>
      <c r="I17" s="120"/>
      <c r="J17" s="120"/>
      <c r="K17" s="120"/>
      <c r="L17" s="121"/>
      <c r="M17" s="157"/>
    </row>
    <row r="18" spans="1:13" x14ac:dyDescent="0.25">
      <c r="A18" s="119"/>
      <c r="B18" s="175" t="str">
        <f>IF(Table13[[#This Row],[FUND]]&gt;0,VLOOKUP(Table13[[#This Row],[FUND]],'Drop Downs'!A14:B46,2,FALSE), " ")</f>
        <v xml:space="preserve"> </v>
      </c>
      <c r="C18" s="120"/>
      <c r="D18" s="120"/>
      <c r="E18" s="120"/>
      <c r="F18" s="120"/>
      <c r="G18" s="124"/>
      <c r="H18" s="120"/>
      <c r="I18" s="120"/>
      <c r="J18" s="120"/>
      <c r="K18" s="120"/>
      <c r="L18" s="121"/>
      <c r="M18" s="157"/>
    </row>
    <row r="19" spans="1:13" x14ac:dyDescent="0.25">
      <c r="A19" s="119"/>
      <c r="B19" s="175" t="str">
        <f>IF(Table13[[#This Row],[FUND]]&gt;0,VLOOKUP(Table13[[#This Row],[FUND]],'Drop Downs'!A15:B47,2,FALSE), " ")</f>
        <v xml:space="preserve"> </v>
      </c>
      <c r="C19" s="120"/>
      <c r="D19" s="120"/>
      <c r="E19" s="120"/>
      <c r="F19" s="120"/>
      <c r="G19" s="124"/>
      <c r="H19" s="120"/>
      <c r="I19" s="120"/>
      <c r="J19" s="120"/>
      <c r="K19" s="120"/>
      <c r="L19" s="121"/>
      <c r="M19" s="157"/>
    </row>
    <row r="20" spans="1:13" x14ac:dyDescent="0.25">
      <c r="A20" s="119"/>
      <c r="B20" s="175" t="str">
        <f>IF(Table13[[#This Row],[FUND]]&gt;0,VLOOKUP(Table13[[#This Row],[FUND]],'Drop Downs'!A16:B48,2,FALSE), " ")</f>
        <v xml:space="preserve"> </v>
      </c>
      <c r="C20" s="120"/>
      <c r="D20" s="120"/>
      <c r="E20" s="120"/>
      <c r="F20" s="120"/>
      <c r="G20" s="124"/>
      <c r="H20" s="120"/>
      <c r="I20" s="120"/>
      <c r="J20" s="120"/>
      <c r="K20" s="120"/>
      <c r="L20" s="121"/>
      <c r="M20" s="157"/>
    </row>
    <row r="21" spans="1:13" x14ac:dyDescent="0.25">
      <c r="A21" s="119"/>
      <c r="B21" s="175" t="str">
        <f>IF(Table13[[#This Row],[FUND]]&gt;0,VLOOKUP(Table13[[#This Row],[FUND]],'Drop Downs'!A17:B49,2,FALSE), " ")</f>
        <v xml:space="preserve"> </v>
      </c>
      <c r="C21" s="120"/>
      <c r="D21" s="120"/>
      <c r="E21" s="120"/>
      <c r="F21" s="120">
        <f>SUM(Table13[[#This Row],[FY23]:[FY25]])</f>
        <v>0</v>
      </c>
      <c r="G21" s="124"/>
      <c r="H21" s="120"/>
      <c r="I21" s="120"/>
      <c r="J21" s="120"/>
      <c r="K21" s="120"/>
      <c r="L21" s="121">
        <f>SUM(Table13[[#This Row],[FY27]:[FY30]])</f>
        <v>0</v>
      </c>
      <c r="M21" s="157"/>
    </row>
    <row r="22" spans="1:13" x14ac:dyDescent="0.25">
      <c r="A22" s="119"/>
      <c r="B22" s="175" t="str">
        <f>IF(Table13[[#This Row],[FUND]]&gt;0,VLOOKUP(Table13[[#This Row],[FUND]],'Drop Downs'!A18:B50,2,FALSE), " ")</f>
        <v xml:space="preserve"> </v>
      </c>
      <c r="C22" s="120"/>
      <c r="D22" s="120"/>
      <c r="E22" s="120"/>
      <c r="F22" s="120">
        <f>SUM(Table13[[#This Row],[FY23]:[FY25]])</f>
        <v>0</v>
      </c>
      <c r="G22" s="124"/>
      <c r="H22" s="120"/>
      <c r="I22" s="120"/>
      <c r="J22" s="120"/>
      <c r="K22" s="120"/>
      <c r="L22" s="121">
        <f>SUM(Table13[[#This Row],[FY27]:[FY30]])</f>
        <v>0</v>
      </c>
      <c r="M22" s="157"/>
    </row>
    <row r="23" spans="1:13" x14ac:dyDescent="0.25">
      <c r="A23" s="119"/>
      <c r="B23" s="175" t="str">
        <f>IF(Table13[[#This Row],[FUND]]&gt;0,VLOOKUP(Table13[[#This Row],[FUND]],'Drop Downs'!A19:B51,2,FALSE), " ")</f>
        <v xml:space="preserve"> </v>
      </c>
      <c r="C23" s="120"/>
      <c r="D23" s="120"/>
      <c r="E23" s="120"/>
      <c r="F23" s="120">
        <f>SUM(Table13[[#This Row],[FY23]:[FY25]])</f>
        <v>0</v>
      </c>
      <c r="G23" s="124"/>
      <c r="H23" s="120"/>
      <c r="I23" s="120"/>
      <c r="J23" s="120"/>
      <c r="K23" s="120"/>
      <c r="L23" s="121">
        <f>SUM(Table13[[#This Row],[FY27]:[FY30]])</f>
        <v>0</v>
      </c>
      <c r="M23" s="157"/>
    </row>
    <row r="24" spans="1:13" x14ac:dyDescent="0.25">
      <c r="A24" s="119"/>
      <c r="B24" s="175" t="str">
        <f>IF(Table13[[#This Row],[FUND]]&gt;0,VLOOKUP(Table13[[#This Row],[FUND]],'Drop Downs'!A20:B52,2,FALSE), " ")</f>
        <v xml:space="preserve"> </v>
      </c>
      <c r="C24" s="120"/>
      <c r="D24" s="120"/>
      <c r="E24" s="120"/>
      <c r="F24" s="120">
        <f>SUM(Table13[[#This Row],[FY23]:[FY25]])</f>
        <v>0</v>
      </c>
      <c r="G24" s="124"/>
      <c r="H24" s="120"/>
      <c r="I24" s="120"/>
      <c r="J24" s="120"/>
      <c r="K24" s="120"/>
      <c r="L24" s="121">
        <f>SUM(Table13[[#This Row],[FY27]:[FY30]])</f>
        <v>0</v>
      </c>
      <c r="M24" s="157"/>
    </row>
    <row r="25" spans="1:13" x14ac:dyDescent="0.25">
      <c r="A25" s="119"/>
      <c r="B25" s="175" t="str">
        <f>IF(Table13[[#This Row],[FUND]]&gt;0,VLOOKUP(Table13[[#This Row],[FUND]],'Drop Downs'!A21:B53,2,FALSE), " ")</f>
        <v xml:space="preserve"> </v>
      </c>
      <c r="C25" s="120"/>
      <c r="D25" s="120"/>
      <c r="E25" s="120"/>
      <c r="F25" s="120">
        <f>SUM(Table13[[#This Row],[FY23]:[FY25]])</f>
        <v>0</v>
      </c>
      <c r="G25" s="124"/>
      <c r="H25" s="120"/>
      <c r="I25" s="120"/>
      <c r="J25" s="120"/>
      <c r="K25" s="120"/>
      <c r="L25" s="121">
        <f>SUM(Table13[[#This Row],[FY27]:[FY30]])</f>
        <v>0</v>
      </c>
      <c r="M25" s="157"/>
    </row>
    <row r="26" spans="1:13" x14ac:dyDescent="0.25">
      <c r="A26" s="119"/>
      <c r="B26" s="175" t="str">
        <f>IF(Table13[[#This Row],[FUND]]&gt;0,VLOOKUP(Table13[[#This Row],[FUND]],'Drop Downs'!A22:B54,2,FALSE), " ")</f>
        <v xml:space="preserve"> </v>
      </c>
      <c r="C26" s="120"/>
      <c r="D26" s="120"/>
      <c r="E26" s="120"/>
      <c r="F26" s="120">
        <f>SUM(Table13[[#This Row],[FY23]:[FY25]])</f>
        <v>0</v>
      </c>
      <c r="G26" s="124"/>
      <c r="H26" s="120"/>
      <c r="I26" s="120"/>
      <c r="J26" s="120"/>
      <c r="K26" s="120"/>
      <c r="L26" s="121">
        <f>SUM(Table13[[#This Row],[FY27]:[FY30]])</f>
        <v>0</v>
      </c>
      <c r="M26" s="157"/>
    </row>
    <row r="27" spans="1:13" x14ac:dyDescent="0.25">
      <c r="A27" s="119"/>
      <c r="B27" s="175" t="str">
        <f>IF(Table13[[#This Row],[FUND]]&gt;0,VLOOKUP(Table13[[#This Row],[FUND]],'Drop Downs'!A23:B55,2,FALSE), " ")</f>
        <v xml:space="preserve"> </v>
      </c>
      <c r="C27" s="120"/>
      <c r="D27" s="120"/>
      <c r="E27" s="120"/>
      <c r="F27" s="120">
        <f>SUM(Table13[[#This Row],[FY23]:[FY25]])</f>
        <v>0</v>
      </c>
      <c r="G27" s="124"/>
      <c r="H27" s="120"/>
      <c r="I27" s="120"/>
      <c r="J27" s="120"/>
      <c r="K27" s="120"/>
      <c r="L27" s="121">
        <f>SUM(Table13[[#This Row],[FY27]:[FY30]])</f>
        <v>0</v>
      </c>
      <c r="M27" s="157"/>
    </row>
    <row r="28" spans="1:13" x14ac:dyDescent="0.25">
      <c r="A28" s="119"/>
      <c r="B28" s="175" t="str">
        <f>IF(Table13[[#This Row],[FUND]]&gt;0,VLOOKUP(Table13[[#This Row],[FUND]],'Drop Downs'!A24:B56,2,FALSE), " ")</f>
        <v xml:space="preserve"> </v>
      </c>
      <c r="C28" s="120"/>
      <c r="D28" s="120"/>
      <c r="E28" s="120"/>
      <c r="F28" s="120">
        <f>SUM(Table13[[#This Row],[FY23]:[FY25]])</f>
        <v>0</v>
      </c>
      <c r="G28" s="124"/>
      <c r="H28" s="120"/>
      <c r="I28" s="120"/>
      <c r="J28" s="120"/>
      <c r="K28" s="120"/>
      <c r="L28" s="121">
        <f>SUM(Table13[[#This Row],[FY27]:[FY30]])</f>
        <v>0</v>
      </c>
      <c r="M28" s="157"/>
    </row>
    <row r="29" spans="1:13" x14ac:dyDescent="0.25">
      <c r="A29" s="119"/>
      <c r="B29" s="175" t="str">
        <f>IF(Table13[[#This Row],[FUND]]&gt;0,VLOOKUP(Table13[[#This Row],[FUND]],'Drop Downs'!A25:B57,2,FALSE), " ")</f>
        <v xml:space="preserve"> </v>
      </c>
      <c r="C29" s="120"/>
      <c r="D29" s="120"/>
      <c r="E29" s="120"/>
      <c r="F29" s="120">
        <f>SUM(Table13[[#This Row],[FY23]:[FY25]])</f>
        <v>0</v>
      </c>
      <c r="G29" s="124"/>
      <c r="H29" s="120"/>
      <c r="I29" s="120"/>
      <c r="J29" s="120"/>
      <c r="K29" s="120"/>
      <c r="L29" s="121">
        <f>SUM(Table13[[#This Row],[FY27]:[FY30]])</f>
        <v>0</v>
      </c>
      <c r="M29" s="157"/>
    </row>
    <row r="30" spans="1:13" x14ac:dyDescent="0.25">
      <c r="A30" s="119"/>
      <c r="B30" s="175" t="str">
        <f>IF(Table13[[#This Row],[FUND]]&gt;0,VLOOKUP(Table13[[#This Row],[FUND]],'Drop Downs'!A26:B58,2,FALSE), " ")</f>
        <v xml:space="preserve"> </v>
      </c>
      <c r="C30" s="120"/>
      <c r="D30" s="120"/>
      <c r="E30" s="120"/>
      <c r="F30" s="120">
        <f>SUM(Table13[[#This Row],[FY23]:[FY25]])</f>
        <v>0</v>
      </c>
      <c r="G30" s="124"/>
      <c r="H30" s="120"/>
      <c r="I30" s="120"/>
      <c r="J30" s="120"/>
      <c r="K30" s="120"/>
      <c r="L30" s="121">
        <f>SUM(Table13[[#This Row],[FY27]:[FY30]])</f>
        <v>0</v>
      </c>
      <c r="M30" s="157"/>
    </row>
    <row r="31" spans="1:13" x14ac:dyDescent="0.25">
      <c r="A31" s="119"/>
      <c r="B31" s="175" t="str">
        <f>IF(Table13[[#This Row],[FUND]]&gt;0,VLOOKUP(Table13[[#This Row],[FUND]],'Drop Downs'!A27:B59,2,FALSE), " ")</f>
        <v xml:space="preserve"> </v>
      </c>
      <c r="C31" s="120"/>
      <c r="D31" s="120"/>
      <c r="E31" s="120"/>
      <c r="F31" s="120">
        <f>SUM(Table13[[#This Row],[FY23]:[FY25]])</f>
        <v>0</v>
      </c>
      <c r="G31" s="124"/>
      <c r="H31" s="120"/>
      <c r="I31" s="120"/>
      <c r="J31" s="120"/>
      <c r="K31" s="120"/>
      <c r="L31" s="121">
        <f>SUM(Table13[[#This Row],[FY27]:[FY30]])</f>
        <v>0</v>
      </c>
      <c r="M31" s="157"/>
    </row>
    <row r="32" spans="1:13" x14ac:dyDescent="0.25">
      <c r="A32" s="119"/>
      <c r="B32" s="175" t="str">
        <f>IF(Table13[[#This Row],[FUND]]&gt;0,VLOOKUP(Table13[[#This Row],[FUND]],'Drop Downs'!A28:B60,2,FALSE), " ")</f>
        <v xml:space="preserve"> </v>
      </c>
      <c r="C32" s="120"/>
      <c r="D32" s="120"/>
      <c r="E32" s="120"/>
      <c r="F32" s="120">
        <f>SUM(Table13[[#This Row],[FY23]:[FY25]])</f>
        <v>0</v>
      </c>
      <c r="G32" s="124"/>
      <c r="H32" s="120"/>
      <c r="I32" s="120"/>
      <c r="J32" s="120"/>
      <c r="K32" s="120"/>
      <c r="L32" s="121">
        <f>SUM(Table13[[#This Row],[FY27]:[FY30]])</f>
        <v>0</v>
      </c>
      <c r="M32" s="157"/>
    </row>
    <row r="33" spans="1:13" x14ac:dyDescent="0.25">
      <c r="A33" s="119"/>
      <c r="B33" s="175" t="str">
        <f>IF(Table13[[#This Row],[FUND]]&gt;0,VLOOKUP(Table13[[#This Row],[FUND]],'Drop Downs'!A29:B61,2,FALSE), " ")</f>
        <v xml:space="preserve"> </v>
      </c>
      <c r="C33" s="120"/>
      <c r="D33" s="120"/>
      <c r="E33" s="120"/>
      <c r="F33" s="120">
        <f>SUM(Table13[[#This Row],[FY23]:[FY25]])</f>
        <v>0</v>
      </c>
      <c r="G33" s="125"/>
      <c r="H33" s="120"/>
      <c r="I33" s="120"/>
      <c r="J33" s="120"/>
      <c r="K33" s="120"/>
      <c r="L33" s="121">
        <f>SUM(Table13[[#This Row],[FY27]:[FY30]])</f>
        <v>0</v>
      </c>
      <c r="M33" s="157"/>
    </row>
    <row r="34" spans="1:13" x14ac:dyDescent="0.25">
      <c r="A34" s="64"/>
      <c r="B34" s="175" t="str">
        <f>IF(Table13[[#This Row],[FUND]]&gt;0,VLOOKUP(Table13[[#This Row],[FUND]],'Drop Downs'!A30:B62,2,FALSE), " ")</f>
        <v xml:space="preserve"> </v>
      </c>
      <c r="C34" s="65"/>
      <c r="D34" s="65"/>
      <c r="E34" s="65"/>
      <c r="F34" s="66">
        <f>SUM(Table13[[#This Row],[FY23]:[FY25]])</f>
        <v>0</v>
      </c>
      <c r="G34" s="67"/>
      <c r="H34" s="68"/>
      <c r="I34" s="65"/>
      <c r="J34" s="65"/>
      <c r="K34" s="65"/>
      <c r="L34" s="69">
        <f>SUM(Table13[[#This Row],[FY27]:[FY30]])</f>
        <v>0</v>
      </c>
      <c r="M34" s="157"/>
    </row>
    <row r="35" spans="1:13" x14ac:dyDescent="0.25">
      <c r="A35" s="64"/>
      <c r="B35" s="175" t="str">
        <f>IF(Table13[[#This Row],[FUND]]&gt;0,VLOOKUP(Table13[[#This Row],[FUND]],'Drop Downs'!A31:B63,2,FALSE), " ")</f>
        <v xml:space="preserve"> </v>
      </c>
      <c r="C35" s="65"/>
      <c r="D35" s="65"/>
      <c r="E35" s="65"/>
      <c r="F35" s="66">
        <f>SUM(Table13[[#This Row],[FY23]:[FY25]])</f>
        <v>0</v>
      </c>
      <c r="G35" s="67"/>
      <c r="H35" s="68"/>
      <c r="I35" s="65"/>
      <c r="J35" s="65"/>
      <c r="K35" s="65"/>
      <c r="L35" s="69">
        <f>SUM(Table13[[#This Row],[FY27]:[FY30]])</f>
        <v>0</v>
      </c>
      <c r="M35" s="157"/>
    </row>
    <row r="36" spans="1:13" x14ac:dyDescent="0.25">
      <c r="A36" s="64"/>
      <c r="B36" s="175" t="str">
        <f>IF(Table13[[#This Row],[FUND]]&gt;0,VLOOKUP(Table13[[#This Row],[FUND]],'Drop Downs'!A32:B64,2,FALSE), " ")</f>
        <v xml:space="preserve"> </v>
      </c>
      <c r="C36" s="65"/>
      <c r="D36" s="65"/>
      <c r="E36" s="65"/>
      <c r="F36" s="66">
        <f>SUM(Table13[[#This Row],[FY23]:[FY25]])</f>
        <v>0</v>
      </c>
      <c r="G36" s="67"/>
      <c r="H36" s="68"/>
      <c r="I36" s="65"/>
      <c r="J36" s="65"/>
      <c r="K36" s="65"/>
      <c r="L36" s="69">
        <f>SUM(Table13[[#This Row],[FY27]:[FY30]])</f>
        <v>0</v>
      </c>
      <c r="M36" s="157"/>
    </row>
    <row r="37" spans="1:13" x14ac:dyDescent="0.25">
      <c r="A37" s="64"/>
      <c r="B37" s="175" t="str">
        <f>IF(Table13[[#This Row],[FUND]]&gt;0,VLOOKUP(Table13[[#This Row],[FUND]],'Drop Downs'!A33:B65,2,FALSE), " ")</f>
        <v xml:space="preserve"> </v>
      </c>
      <c r="C37" s="65"/>
      <c r="D37" s="65"/>
      <c r="E37" s="65"/>
      <c r="F37" s="66">
        <f>SUM(Table13[[#This Row],[FY23]:[FY25]])</f>
        <v>0</v>
      </c>
      <c r="G37" s="67"/>
      <c r="H37" s="68"/>
      <c r="I37" s="65"/>
      <c r="J37" s="65"/>
      <c r="K37" s="65"/>
      <c r="L37" s="69">
        <f>SUM(Table13[[#This Row],[FY27]:[FY30]])</f>
        <v>0</v>
      </c>
      <c r="M37" s="157"/>
    </row>
    <row r="38" spans="1:13" ht="15.75" thickBot="1" x14ac:dyDescent="0.3">
      <c r="A38" s="64"/>
      <c r="B38" s="175" t="str">
        <f>IF(Table13[[#This Row],[FUND]]&gt;0,VLOOKUP(Table13[[#This Row],[FUND]],'Drop Downs'!A34:B66,2,FALSE), " ")</f>
        <v xml:space="preserve"> </v>
      </c>
      <c r="C38" s="70"/>
      <c r="D38" s="70"/>
      <c r="E38" s="70"/>
      <c r="F38" s="71">
        <f>SUM(Table13[[#This Row],[FY23]:[FY25]])</f>
        <v>0</v>
      </c>
      <c r="G38" s="72"/>
      <c r="H38" s="73"/>
      <c r="I38" s="70"/>
      <c r="J38" s="70"/>
      <c r="K38" s="70"/>
      <c r="L38" s="74">
        <f>SUM(Table13[[#This Row],[FY27]:[FY30]])</f>
        <v>0</v>
      </c>
      <c r="M38" s="158"/>
    </row>
    <row r="40" spans="1:13" x14ac:dyDescent="0.25">
      <c r="A40"/>
      <c r="C40" s="57" t="str">
        <f>Table13[[#Headers],[FY23]]</f>
        <v>FY23</v>
      </c>
      <c r="D40" s="57" t="str">
        <f>Table13[[#Headers],[FY24]]</f>
        <v>FY24</v>
      </c>
      <c r="E40" s="57" t="str">
        <f>Table13[[#Headers],[FY25]]</f>
        <v>FY25</v>
      </c>
      <c r="F40" s="57" t="str">
        <f>Table13[[#Headers],[Total Actuals]]</f>
        <v>Total Actuals</v>
      </c>
      <c r="G40" s="57" t="str">
        <f>Table13[[#Headers],[FY26]]</f>
        <v>FY26</v>
      </c>
      <c r="H40" s="57" t="str">
        <f>Table13[[#Headers],[FY27]]</f>
        <v>FY27</v>
      </c>
      <c r="I40" s="57" t="str">
        <f>Table13[[#Headers],[FY28]]</f>
        <v>FY28</v>
      </c>
      <c r="J40" s="57" t="str">
        <f>Table13[[#Headers],[FY29]]</f>
        <v>FY29</v>
      </c>
      <c r="K40" s="57" t="str">
        <f>Table13[[#Headers],[FY30]]</f>
        <v>FY30</v>
      </c>
    </row>
    <row r="41" spans="1:13" x14ac:dyDescent="0.25">
      <c r="B41" s="60" t="s">
        <v>142</v>
      </c>
      <c r="C41" s="174">
        <f>'2. SourcesDetail'!C41</f>
        <v>0</v>
      </c>
      <c r="D41" s="174">
        <f>'2. SourcesDetail'!D41</f>
        <v>0</v>
      </c>
      <c r="E41" s="174">
        <f>'2. SourcesDetail'!E41</f>
        <v>0</v>
      </c>
      <c r="F41" s="174">
        <f>'2. SourcesDetail'!F41</f>
        <v>0</v>
      </c>
      <c r="G41" s="174">
        <f>'2. SourcesDetail'!G41</f>
        <v>0</v>
      </c>
      <c r="H41" s="174">
        <f>'2. SourcesDetail'!H41</f>
        <v>0</v>
      </c>
      <c r="I41" s="174">
        <f>'2. SourcesDetail'!I41</f>
        <v>0</v>
      </c>
      <c r="J41" s="174">
        <f>'2. SourcesDetail'!J41</f>
        <v>0</v>
      </c>
      <c r="K41" s="174">
        <f>'2. SourcesDetail'!K41</f>
        <v>0</v>
      </c>
    </row>
    <row r="42" spans="1:13" ht="15.75" thickBot="1" x14ac:dyDescent="0.3">
      <c r="A42"/>
      <c r="B42" s="35" t="s">
        <v>145</v>
      </c>
      <c r="C42" s="36">
        <f>SUM(Table13[FY23])</f>
        <v>0</v>
      </c>
      <c r="D42" s="36">
        <f>SUM(Table13[FY24])</f>
        <v>0</v>
      </c>
      <c r="E42" s="36">
        <f>SUM(Table13[FY25])</f>
        <v>0</v>
      </c>
      <c r="F42" s="36">
        <f>SUM(Table13[Total Actuals])</f>
        <v>0</v>
      </c>
      <c r="G42" s="36">
        <f>SUM(Table13[FY26])</f>
        <v>0</v>
      </c>
      <c r="H42" s="36">
        <f>SUM(Table13[FY27])</f>
        <v>0</v>
      </c>
      <c r="I42" s="36">
        <f>SUM(Table13[FY28])</f>
        <v>0</v>
      </c>
      <c r="J42" s="36">
        <f>SUM(Table13[FY29])</f>
        <v>0</v>
      </c>
      <c r="K42" s="36">
        <f>SUM(Table13[FY30])</f>
        <v>0</v>
      </c>
    </row>
    <row r="43" spans="1:13" ht="15.75" thickTop="1" x14ac:dyDescent="0.25">
      <c r="B43" s="60" t="s">
        <v>144</v>
      </c>
      <c r="C43" s="174">
        <f t="shared" ref="C43:K43" si="0">C41-C42</f>
        <v>0</v>
      </c>
      <c r="D43" s="174">
        <f t="shared" si="0"/>
        <v>0</v>
      </c>
      <c r="E43" s="174">
        <f t="shared" si="0"/>
        <v>0</v>
      </c>
      <c r="F43" s="174">
        <f t="shared" si="0"/>
        <v>0</v>
      </c>
      <c r="G43" s="174">
        <f t="shared" si="0"/>
        <v>0</v>
      </c>
      <c r="H43" s="174">
        <f t="shared" si="0"/>
        <v>0</v>
      </c>
      <c r="I43" s="174">
        <f t="shared" si="0"/>
        <v>0</v>
      </c>
      <c r="J43" s="174">
        <f t="shared" si="0"/>
        <v>0</v>
      </c>
      <c r="K43" s="174">
        <f t="shared" si="0"/>
        <v>0</v>
      </c>
    </row>
  </sheetData>
  <sheetProtection algorithmName="SHA-512" hashValue="VO8wAmZIAk/E9f2oGZzVZNXFF1GN5A8GPhQq4dEbsOFOuQRlqv36MFQ4eSg0tDRErqHgtOAGzIpJWhhqBxjLEA==" saltValue="moIDztnB1QQuqKkoEQ3xng==" spinCount="100000" sheet="1" objects="1" scenarios="1" selectLockedCells="1"/>
  <mergeCells count="3">
    <mergeCell ref="A1:K1"/>
    <mergeCell ref="A2:K2"/>
    <mergeCell ref="A3:K3"/>
  </mergeCells>
  <conditionalFormatting sqref="A1 L1:M1">
    <cfRule type="cellIs" dxfId="18" priority="3" operator="equal">
      <formula>0</formula>
    </cfRule>
  </conditionalFormatting>
  <conditionalFormatting sqref="A7:A38 C7:K38 M7:M38">
    <cfRule type="containsBlanks" dxfId="17" priority="2">
      <formula>LEN(TRIM(A7))=0</formula>
    </cfRule>
  </conditionalFormatting>
  <pageMargins left="0.7" right="0.7" top="0.75" bottom="0.75" header="0.3" footer="0.3"/>
  <pageSetup paperSize="3" scale="9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 Downs'!$A$3:$A$35</xm:f>
          </x14:formula1>
          <xm:sqref>A7:A38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8"/>
  <sheetViews>
    <sheetView tabSelected="1" zoomScale="115" zoomScaleNormal="115" workbookViewId="0">
      <selection activeCell="H18" sqref="H18"/>
    </sheetView>
  </sheetViews>
  <sheetFormatPr defaultColWidth="9.140625" defaultRowHeight="15" x14ac:dyDescent="0.25"/>
  <cols>
    <col min="1" max="1" width="18.85546875" bestFit="1" customWidth="1"/>
    <col min="2" max="2" width="34" customWidth="1"/>
    <col min="3" max="3" width="19.7109375" customWidth="1"/>
    <col min="4" max="6" width="20.7109375" customWidth="1"/>
    <col min="7" max="7" width="20.7109375" hidden="1" customWidth="1"/>
    <col min="8" max="12" width="20.7109375" customWidth="1"/>
    <col min="13" max="13" width="91.140625" customWidth="1"/>
  </cols>
  <sheetData>
    <row r="1" spans="1:13" ht="14.45" x14ac:dyDescent="0.35">
      <c r="A1" s="227">
        <f>'1. DistrictInfo'!B2</f>
        <v>0</v>
      </c>
      <c r="B1" s="227"/>
      <c r="C1" s="227"/>
      <c r="D1" s="227"/>
      <c r="E1" s="227"/>
      <c r="F1" s="227"/>
      <c r="G1" s="227"/>
      <c r="H1" s="227"/>
      <c r="I1" s="227"/>
      <c r="J1" s="227"/>
      <c r="K1" s="227"/>
    </row>
    <row r="2" spans="1:13" ht="14.45" x14ac:dyDescent="0.35">
      <c r="A2" s="228" t="s">
        <v>152</v>
      </c>
      <c r="B2" s="228"/>
      <c r="C2" s="228"/>
      <c r="D2" s="228"/>
      <c r="E2" s="228"/>
      <c r="F2" s="228"/>
      <c r="G2" s="228"/>
      <c r="H2" s="228"/>
      <c r="I2" s="228"/>
      <c r="J2" s="228"/>
      <c r="K2" s="228"/>
    </row>
    <row r="3" spans="1:13" ht="14.45" x14ac:dyDescent="0.35">
      <c r="A3" s="229" t="s">
        <v>149</v>
      </c>
      <c r="B3" s="229"/>
      <c r="C3" s="229"/>
      <c r="D3" s="229"/>
      <c r="E3" s="229"/>
      <c r="F3" s="229"/>
      <c r="G3" s="229"/>
      <c r="H3" s="229"/>
      <c r="I3" s="229"/>
      <c r="J3" s="229"/>
      <c r="K3" s="229"/>
      <c r="L3" s="38"/>
      <c r="M3" s="38"/>
    </row>
    <row r="5" spans="1:13" thickBot="1" x14ac:dyDescent="0.4">
      <c r="A5" s="246" t="s">
        <v>173</v>
      </c>
      <c r="B5" s="246"/>
      <c r="C5" s="246"/>
      <c r="D5" s="228"/>
      <c r="E5" s="228"/>
      <c r="F5" s="228"/>
      <c r="G5" s="228"/>
      <c r="H5" s="228"/>
      <c r="I5" s="228"/>
      <c r="J5" s="228"/>
      <c r="K5" s="228"/>
      <c r="L5" s="228"/>
    </row>
    <row r="6" spans="1:13" ht="14.45" x14ac:dyDescent="0.35">
      <c r="A6" s="245" t="s">
        <v>190</v>
      </c>
      <c r="B6" s="245"/>
      <c r="C6" s="178">
        <v>45292</v>
      </c>
      <c r="D6" s="75" t="s">
        <v>8</v>
      </c>
      <c r="E6" s="75" t="s">
        <v>8</v>
      </c>
      <c r="F6" s="75" t="s">
        <v>8</v>
      </c>
      <c r="G6" s="75" t="s">
        <v>8</v>
      </c>
      <c r="H6" s="76" t="s">
        <v>196</v>
      </c>
      <c r="I6" s="75" t="s">
        <v>9</v>
      </c>
      <c r="J6" s="75" t="s">
        <v>9</v>
      </c>
      <c r="K6" s="75" t="s">
        <v>9</v>
      </c>
      <c r="L6" s="75" t="s">
        <v>9</v>
      </c>
      <c r="M6" s="6"/>
    </row>
    <row r="7" spans="1:13" ht="29.1" x14ac:dyDescent="0.35">
      <c r="A7" s="27" t="s">
        <v>0</v>
      </c>
      <c r="B7" s="28" t="s">
        <v>10</v>
      </c>
      <c r="C7" s="77" t="s">
        <v>148</v>
      </c>
      <c r="D7" s="9" t="s">
        <v>2</v>
      </c>
      <c r="E7" s="9" t="s">
        <v>3</v>
      </c>
      <c r="F7" s="9" t="s">
        <v>4</v>
      </c>
      <c r="G7" s="78" t="s">
        <v>47</v>
      </c>
      <c r="H7" s="79" t="s">
        <v>5</v>
      </c>
      <c r="I7" s="8" t="s">
        <v>6</v>
      </c>
      <c r="J7" s="9" t="s">
        <v>7</v>
      </c>
      <c r="K7" s="78" t="s">
        <v>163</v>
      </c>
      <c r="L7" s="80" t="s">
        <v>232</v>
      </c>
      <c r="M7" s="9" t="s">
        <v>225</v>
      </c>
    </row>
    <row r="8" spans="1:13" x14ac:dyDescent="0.25">
      <c r="A8" s="81">
        <v>11000</v>
      </c>
      <c r="B8" s="180" t="str">
        <f>VLOOKUP(A8,'Drop Downs'!A3:B35,2,FALSE)</f>
        <v>Operational</v>
      </c>
      <c r="C8" s="106"/>
      <c r="D8" s="137"/>
      <c r="E8" s="138"/>
      <c r="F8" s="138"/>
      <c r="G8" s="139"/>
      <c r="H8" s="140"/>
      <c r="I8" s="141"/>
      <c r="J8" s="138"/>
      <c r="K8" s="139"/>
      <c r="L8" s="142"/>
      <c r="M8" s="51"/>
    </row>
    <row r="9" spans="1:13" ht="15" customHeight="1" x14ac:dyDescent="0.25">
      <c r="A9" s="82">
        <v>31701</v>
      </c>
      <c r="B9" s="180" t="str">
        <f>VLOOKUP(A9,'Drop Downs'!A4:B36,2,FALSE)</f>
        <v>Capital Improvement SB9 – Local</v>
      </c>
      <c r="C9" s="106"/>
      <c r="D9" s="137"/>
      <c r="E9" s="138"/>
      <c r="F9" s="138"/>
      <c r="G9" s="139"/>
      <c r="H9" s="140"/>
      <c r="I9" s="141"/>
      <c r="J9" s="138"/>
      <c r="K9" s="139"/>
      <c r="L9" s="143"/>
      <c r="M9" s="51"/>
    </row>
    <row r="10" spans="1:13" x14ac:dyDescent="0.25">
      <c r="A10" s="82">
        <v>31600</v>
      </c>
      <c r="B10" s="180" t="str">
        <f>VLOOKUP(A10,'Drop Downs'!A5:B37,2,FALSE)</f>
        <v>Capital Improvements – HB33</v>
      </c>
      <c r="C10" s="106"/>
      <c r="D10" s="137"/>
      <c r="E10" s="138"/>
      <c r="F10" s="138"/>
      <c r="G10" s="139"/>
      <c r="H10" s="140"/>
      <c r="I10" s="141"/>
      <c r="J10" s="138"/>
      <c r="K10" s="139"/>
      <c r="L10" s="143"/>
      <c r="M10" s="51"/>
    </row>
    <row r="11" spans="1:13" ht="14.45" x14ac:dyDescent="0.35">
      <c r="A11" s="82">
        <v>41000</v>
      </c>
      <c r="B11" s="180" t="str">
        <f>VLOOKUP(A11,'Drop Downs'!A6:B38,2,FALSE)</f>
        <v>GO Bond Debt Service</v>
      </c>
      <c r="C11" s="107"/>
      <c r="D11" s="138"/>
      <c r="E11" s="138"/>
      <c r="F11" s="138"/>
      <c r="G11" s="139"/>
      <c r="H11" s="140"/>
      <c r="I11" s="141"/>
      <c r="J11" s="138"/>
      <c r="K11" s="139"/>
      <c r="L11" s="143"/>
      <c r="M11" s="51"/>
    </row>
    <row r="12" spans="1:13" ht="14.45" x14ac:dyDescent="0.35">
      <c r="A12" s="83">
        <v>43000</v>
      </c>
      <c r="B12" s="181" t="str">
        <f>VLOOKUP(A12,'Drop Downs'!A7:B39,2,FALSE)</f>
        <v>Ed-Tech Debt Service</v>
      </c>
      <c r="C12" s="108"/>
      <c r="D12" s="144"/>
      <c r="E12" s="144"/>
      <c r="F12" s="144"/>
      <c r="G12" s="145"/>
      <c r="H12" s="146"/>
      <c r="I12" s="147"/>
      <c r="J12" s="144"/>
      <c r="K12" s="145"/>
      <c r="L12" s="148"/>
      <c r="M12" s="51"/>
    </row>
    <row r="13" spans="1:13" s="135" customFormat="1" thickBot="1" x14ac:dyDescent="0.4">
      <c r="A13" s="247" t="s">
        <v>169</v>
      </c>
      <c r="B13" s="247"/>
      <c r="C13" s="134">
        <f>SUM(C8:C12)</f>
        <v>0</v>
      </c>
      <c r="D13" s="149">
        <f>SUM(D8:D12)</f>
        <v>0</v>
      </c>
      <c r="E13" s="149">
        <f t="shared" ref="E13:L13" si="0">SUM(E8:E12)</f>
        <v>0</v>
      </c>
      <c r="F13" s="149">
        <f t="shared" si="0"/>
        <v>0</v>
      </c>
      <c r="G13" s="150">
        <f t="shared" si="0"/>
        <v>0</v>
      </c>
      <c r="H13" s="151">
        <f t="shared" si="0"/>
        <v>0</v>
      </c>
      <c r="I13" s="152">
        <f t="shared" si="0"/>
        <v>0</v>
      </c>
      <c r="J13" s="149">
        <f t="shared" si="0"/>
        <v>0</v>
      </c>
      <c r="K13" s="149">
        <f t="shared" si="0"/>
        <v>0</v>
      </c>
      <c r="L13" s="149">
        <f t="shared" si="0"/>
        <v>0</v>
      </c>
    </row>
    <row r="15" spans="1:13" thickBot="1" x14ac:dyDescent="0.4"/>
    <row r="16" spans="1:13" ht="14.45" x14ac:dyDescent="0.35">
      <c r="A16" s="246" t="s">
        <v>178</v>
      </c>
      <c r="B16" s="246"/>
      <c r="C16" s="246"/>
      <c r="D16" s="75"/>
      <c r="E16" s="75"/>
      <c r="F16" s="75"/>
      <c r="G16" s="84" t="s">
        <v>8</v>
      </c>
      <c r="H16" s="76" t="s">
        <v>196</v>
      </c>
      <c r="I16" s="75" t="s">
        <v>9</v>
      </c>
      <c r="J16" s="75" t="s">
        <v>9</v>
      </c>
      <c r="K16" s="75" t="s">
        <v>9</v>
      </c>
      <c r="L16" s="75" t="s">
        <v>9</v>
      </c>
    </row>
    <row r="17" spans="1:13" ht="30" x14ac:dyDescent="0.25">
      <c r="A17" s="242" t="s">
        <v>180</v>
      </c>
      <c r="B17" s="243"/>
      <c r="C17" s="116" t="s">
        <v>66</v>
      </c>
      <c r="D17" s="249" t="s">
        <v>172</v>
      </c>
      <c r="E17" s="250"/>
      <c r="F17" s="251"/>
      <c r="G17" s="153" t="s">
        <v>168</v>
      </c>
      <c r="H17" s="86" t="s">
        <v>5</v>
      </c>
      <c r="I17" s="154" t="s">
        <v>6</v>
      </c>
      <c r="J17" s="85" t="s">
        <v>7</v>
      </c>
      <c r="K17" s="85" t="s">
        <v>163</v>
      </c>
      <c r="L17" s="85" t="s">
        <v>232</v>
      </c>
      <c r="M17" s="85" t="s">
        <v>225</v>
      </c>
    </row>
    <row r="18" spans="1:13" x14ac:dyDescent="0.25">
      <c r="A18" s="244" t="s">
        <v>174</v>
      </c>
      <c r="B18" s="244"/>
      <c r="C18" s="109"/>
      <c r="D18" s="252"/>
      <c r="E18" s="253"/>
      <c r="F18" s="254"/>
      <c r="G18" s="87"/>
      <c r="H18" s="127"/>
      <c r="I18" s="88">
        <f>H18*(1+$C$18)</f>
        <v>0</v>
      </c>
      <c r="J18" s="89">
        <f>I18*(1+$C$18)</f>
        <v>0</v>
      </c>
      <c r="K18" s="89">
        <f>J18*(1+$C$18)</f>
        <v>0</v>
      </c>
      <c r="L18" s="89">
        <f>K18*(1+$C$18)</f>
        <v>0</v>
      </c>
      <c r="M18" s="115"/>
    </row>
    <row r="19" spans="1:13" x14ac:dyDescent="0.25">
      <c r="A19" s="248" t="s">
        <v>177</v>
      </c>
      <c r="B19" s="248"/>
      <c r="C19" s="90">
        <v>0.06</v>
      </c>
      <c r="D19" s="252"/>
      <c r="E19" s="253"/>
      <c r="F19" s="254"/>
      <c r="G19" s="91"/>
      <c r="H19" s="92">
        <f>H18*C19</f>
        <v>0</v>
      </c>
      <c r="I19" s="93">
        <f>I18*$C$19</f>
        <v>0</v>
      </c>
      <c r="J19" s="94">
        <f>J18*$C$19</f>
        <v>0</v>
      </c>
      <c r="K19" s="94">
        <f>K18*$C$19</f>
        <v>0</v>
      </c>
      <c r="L19" s="94">
        <f>L18*$C$19</f>
        <v>0</v>
      </c>
      <c r="M19" s="115"/>
    </row>
    <row r="20" spans="1:13" ht="30" customHeight="1" x14ac:dyDescent="0.25">
      <c r="A20" s="244" t="s">
        <v>176</v>
      </c>
      <c r="B20" s="244"/>
      <c r="C20" s="95"/>
      <c r="D20" s="252"/>
      <c r="E20" s="253"/>
      <c r="F20" s="254"/>
      <c r="G20" s="96"/>
      <c r="H20" s="208"/>
      <c r="I20" s="209"/>
      <c r="J20" s="210"/>
      <c r="K20" s="210"/>
      <c r="L20" s="210"/>
      <c r="M20" s="211"/>
    </row>
    <row r="21" spans="1:13" x14ac:dyDescent="0.25">
      <c r="A21" s="248" t="s">
        <v>67</v>
      </c>
      <c r="B21" s="248"/>
      <c r="C21" s="97"/>
      <c r="D21" s="252"/>
      <c r="E21" s="253"/>
      <c r="F21" s="254"/>
      <c r="G21" s="91"/>
      <c r="H21" s="92">
        <f>H19-H20</f>
        <v>0</v>
      </c>
      <c r="I21" s="98">
        <f>I19-I20</f>
        <v>0</v>
      </c>
      <c r="J21" s="99">
        <f>J19-J20</f>
        <v>0</v>
      </c>
      <c r="K21" s="99">
        <f>K19-K20</f>
        <v>0</v>
      </c>
      <c r="L21" s="99">
        <f>L19-L20</f>
        <v>0</v>
      </c>
      <c r="M21" s="115"/>
    </row>
    <row r="22" spans="1:13" x14ac:dyDescent="0.25">
      <c r="A22" s="244" t="s">
        <v>175</v>
      </c>
      <c r="B22" s="244"/>
      <c r="C22" s="100"/>
      <c r="D22" s="255"/>
      <c r="E22" s="256"/>
      <c r="F22" s="257"/>
      <c r="G22" s="96"/>
      <c r="H22" s="212" t="e">
        <f>H20/H19</f>
        <v>#DIV/0!</v>
      </c>
      <c r="I22" s="101" t="e">
        <f>I20/I19</f>
        <v>#DIV/0!</v>
      </c>
      <c r="J22" s="102" t="e">
        <f>J20/J19</f>
        <v>#DIV/0!</v>
      </c>
      <c r="K22" s="102" t="e">
        <f>K20/K19</f>
        <v>#DIV/0!</v>
      </c>
      <c r="L22" s="102" t="e">
        <f>L20/L19</f>
        <v>#DIV/0!</v>
      </c>
      <c r="M22" s="115"/>
    </row>
    <row r="23" spans="1:13" x14ac:dyDescent="0.25">
      <c r="A23" s="103"/>
      <c r="B23" s="103"/>
      <c r="C23" s="103"/>
      <c r="D23" s="103"/>
      <c r="E23" s="103"/>
      <c r="F23" s="103"/>
      <c r="G23" s="103"/>
    </row>
    <row r="24" spans="1:13" ht="14.45" x14ac:dyDescent="0.35">
      <c r="A24" s="14"/>
      <c r="B24" s="104"/>
      <c r="C24" s="104"/>
      <c r="D24" s="14"/>
      <c r="E24" s="14"/>
      <c r="F24" s="14"/>
      <c r="G24" s="14"/>
    </row>
    <row r="25" spans="1:13" ht="14.45" x14ac:dyDescent="0.35">
      <c r="A25" s="258" t="s">
        <v>191</v>
      </c>
      <c r="B25" s="258"/>
      <c r="C25" s="258"/>
      <c r="D25" s="258"/>
      <c r="E25" s="258"/>
      <c r="F25" s="258"/>
      <c r="G25" s="105"/>
    </row>
    <row r="26" spans="1:13" ht="29.1" x14ac:dyDescent="0.35">
      <c r="A26" s="128" t="s">
        <v>193</v>
      </c>
      <c r="B26" s="239" t="s">
        <v>194</v>
      </c>
      <c r="C26" s="240"/>
      <c r="D26" s="241"/>
      <c r="E26" s="129" t="s">
        <v>195</v>
      </c>
      <c r="F26" s="130" t="s">
        <v>197</v>
      </c>
      <c r="G26" s="131" t="s">
        <v>192</v>
      </c>
      <c r="H26" s="128" t="s">
        <v>198</v>
      </c>
      <c r="I26" s="233" t="s">
        <v>147</v>
      </c>
      <c r="J26" s="234"/>
      <c r="K26" s="234"/>
      <c r="L26" s="235"/>
    </row>
    <row r="27" spans="1:13" x14ac:dyDescent="0.25">
      <c r="A27" s="179"/>
      <c r="B27" s="230"/>
      <c r="C27" s="231"/>
      <c r="D27" s="232"/>
      <c r="E27" s="132"/>
      <c r="F27" s="132"/>
      <c r="G27" s="176"/>
      <c r="H27" s="176">
        <f>E27-F27</f>
        <v>0</v>
      </c>
      <c r="I27" s="236"/>
      <c r="J27" s="237"/>
      <c r="K27" s="237"/>
      <c r="L27" s="238"/>
    </row>
    <row r="28" spans="1:13" x14ac:dyDescent="0.25">
      <c r="A28" s="179"/>
      <c r="B28" s="230"/>
      <c r="C28" s="231"/>
      <c r="D28" s="232"/>
      <c r="E28" s="132"/>
      <c r="F28" s="132"/>
      <c r="G28" s="176"/>
      <c r="H28" s="176">
        <f t="shared" ref="H28:H37" si="1">E28-F28</f>
        <v>0</v>
      </c>
      <c r="I28" s="236"/>
      <c r="J28" s="237"/>
      <c r="K28" s="237"/>
      <c r="L28" s="238"/>
    </row>
    <row r="29" spans="1:13" x14ac:dyDescent="0.25">
      <c r="A29" s="179"/>
      <c r="B29" s="230"/>
      <c r="C29" s="231"/>
      <c r="D29" s="232"/>
      <c r="E29" s="132"/>
      <c r="F29" s="132"/>
      <c r="G29" s="176"/>
      <c r="H29" s="176">
        <f t="shared" si="1"/>
        <v>0</v>
      </c>
      <c r="I29" s="236"/>
      <c r="J29" s="237"/>
      <c r="K29" s="237"/>
      <c r="L29" s="238"/>
    </row>
    <row r="30" spans="1:13" x14ac:dyDescent="0.25">
      <c r="A30" s="179"/>
      <c r="B30" s="230"/>
      <c r="C30" s="231"/>
      <c r="D30" s="232"/>
      <c r="E30" s="132"/>
      <c r="F30" s="132"/>
      <c r="G30" s="176"/>
      <c r="H30" s="176">
        <f t="shared" si="1"/>
        <v>0</v>
      </c>
      <c r="I30" s="236"/>
      <c r="J30" s="237"/>
      <c r="K30" s="237"/>
      <c r="L30" s="238"/>
    </row>
    <row r="31" spans="1:13" x14ac:dyDescent="0.25">
      <c r="A31" s="179"/>
      <c r="B31" s="230"/>
      <c r="C31" s="231"/>
      <c r="D31" s="232"/>
      <c r="E31" s="132"/>
      <c r="F31" s="132"/>
      <c r="G31" s="176"/>
      <c r="H31" s="176">
        <f t="shared" si="1"/>
        <v>0</v>
      </c>
      <c r="I31" s="236"/>
      <c r="J31" s="237"/>
      <c r="K31" s="237"/>
      <c r="L31" s="238"/>
    </row>
    <row r="32" spans="1:13" x14ac:dyDescent="0.25">
      <c r="A32" s="179"/>
      <c r="B32" s="230"/>
      <c r="C32" s="231"/>
      <c r="D32" s="232"/>
      <c r="E32" s="132"/>
      <c r="F32" s="132"/>
      <c r="G32" s="176"/>
      <c r="H32" s="176">
        <f t="shared" si="1"/>
        <v>0</v>
      </c>
      <c r="I32" s="236"/>
      <c r="J32" s="237"/>
      <c r="K32" s="237"/>
      <c r="L32" s="238"/>
    </row>
    <row r="33" spans="1:12" x14ac:dyDescent="0.25">
      <c r="A33" s="179"/>
      <c r="B33" s="230"/>
      <c r="C33" s="231"/>
      <c r="D33" s="232"/>
      <c r="E33" s="132"/>
      <c r="F33" s="132"/>
      <c r="G33" s="176"/>
      <c r="H33" s="176">
        <f t="shared" si="1"/>
        <v>0</v>
      </c>
      <c r="I33" s="236"/>
      <c r="J33" s="237"/>
      <c r="K33" s="237"/>
      <c r="L33" s="238"/>
    </row>
    <row r="34" spans="1:12" x14ac:dyDescent="0.25">
      <c r="A34" s="179"/>
      <c r="B34" s="230"/>
      <c r="C34" s="231"/>
      <c r="D34" s="232"/>
      <c r="E34" s="132"/>
      <c r="F34" s="132"/>
      <c r="G34" s="176"/>
      <c r="H34" s="176">
        <f t="shared" si="1"/>
        <v>0</v>
      </c>
      <c r="I34" s="236"/>
      <c r="J34" s="237"/>
      <c r="K34" s="237"/>
      <c r="L34" s="238"/>
    </row>
    <row r="35" spans="1:12" x14ac:dyDescent="0.25">
      <c r="A35" s="179"/>
      <c r="B35" s="230"/>
      <c r="C35" s="231"/>
      <c r="D35" s="232"/>
      <c r="E35" s="132"/>
      <c r="F35" s="132"/>
      <c r="G35" s="176"/>
      <c r="H35" s="176">
        <f t="shared" si="1"/>
        <v>0</v>
      </c>
      <c r="I35" s="236"/>
      <c r="J35" s="237"/>
      <c r="K35" s="237"/>
      <c r="L35" s="238"/>
    </row>
    <row r="36" spans="1:12" x14ac:dyDescent="0.25">
      <c r="A36" s="179"/>
      <c r="B36" s="230"/>
      <c r="C36" s="231"/>
      <c r="D36" s="232"/>
      <c r="E36" s="132"/>
      <c r="F36" s="132"/>
      <c r="G36" s="176"/>
      <c r="H36" s="176">
        <f t="shared" si="1"/>
        <v>0</v>
      </c>
      <c r="I36" s="236"/>
      <c r="J36" s="237"/>
      <c r="K36" s="237"/>
      <c r="L36" s="238"/>
    </row>
    <row r="37" spans="1:12" ht="15.75" thickBot="1" x14ac:dyDescent="0.3">
      <c r="A37" s="179"/>
      <c r="B37" s="230"/>
      <c r="C37" s="231"/>
      <c r="D37" s="232"/>
      <c r="E37" s="133"/>
      <c r="F37" s="133"/>
      <c r="G37" s="177"/>
      <c r="H37" s="177">
        <f t="shared" si="1"/>
        <v>0</v>
      </c>
      <c r="I37" s="236"/>
      <c r="J37" s="237"/>
      <c r="K37" s="237"/>
      <c r="L37" s="238"/>
    </row>
    <row r="38" spans="1:12" s="135" customFormat="1" ht="15.75" thickTop="1" x14ac:dyDescent="0.25">
      <c r="D38" s="34" t="s">
        <v>169</v>
      </c>
      <c r="E38" s="136">
        <f>SUM(E27:E37)</f>
        <v>0</v>
      </c>
      <c r="F38" s="136">
        <f t="shared" ref="F38:H38" si="2">SUM(F27:F37)</f>
        <v>0</v>
      </c>
      <c r="G38" s="136">
        <f t="shared" si="2"/>
        <v>0</v>
      </c>
      <c r="H38" s="136">
        <f t="shared" si="2"/>
        <v>0</v>
      </c>
    </row>
  </sheetData>
  <sheetProtection algorithmName="SHA-512" hashValue="drQ4PzaoiHTHSb41Nbt5AYquJJKpkFPTQBl1Q3kuRHQSq0Kt+fSgCSMrLREE0wR8IQcRYA0T8c22CNfm4RjDBQ==" saltValue="lmrYqRlSvjW9164zST1ydQ==" spinCount="100000" sheet="1" objects="1" scenarios="1" selectLockedCells="1"/>
  <mergeCells count="40">
    <mergeCell ref="B27:D27"/>
    <mergeCell ref="B36:D36"/>
    <mergeCell ref="D5:L5"/>
    <mergeCell ref="D17:F22"/>
    <mergeCell ref="A21:B21"/>
    <mergeCell ref="A22:B22"/>
    <mergeCell ref="A25:F25"/>
    <mergeCell ref="B30:D30"/>
    <mergeCell ref="B32:D32"/>
    <mergeCell ref="B33:D33"/>
    <mergeCell ref="B34:D34"/>
    <mergeCell ref="B35:D35"/>
    <mergeCell ref="B31:D31"/>
    <mergeCell ref="A1:K1"/>
    <mergeCell ref="A2:K2"/>
    <mergeCell ref="A3:K3"/>
    <mergeCell ref="A17:B17"/>
    <mergeCell ref="A20:B20"/>
    <mergeCell ref="A6:B6"/>
    <mergeCell ref="A5:C5"/>
    <mergeCell ref="A16:C16"/>
    <mergeCell ref="A13:B13"/>
    <mergeCell ref="A18:B18"/>
    <mergeCell ref="A19:B19"/>
    <mergeCell ref="B37:D37"/>
    <mergeCell ref="I26:L26"/>
    <mergeCell ref="I27:L27"/>
    <mergeCell ref="I32:L32"/>
    <mergeCell ref="I33:L33"/>
    <mergeCell ref="I34:L34"/>
    <mergeCell ref="I35:L35"/>
    <mergeCell ref="I36:L36"/>
    <mergeCell ref="I37:L37"/>
    <mergeCell ref="I28:L28"/>
    <mergeCell ref="I29:L29"/>
    <mergeCell ref="I30:L30"/>
    <mergeCell ref="I31:L31"/>
    <mergeCell ref="B28:D28"/>
    <mergeCell ref="B29:D29"/>
    <mergeCell ref="B26:D26"/>
  </mergeCells>
  <conditionalFormatting sqref="A27:B37">
    <cfRule type="containsBlanks" dxfId="16" priority="3">
      <formula>LEN(TRIM(A27))=0</formula>
    </cfRule>
  </conditionalFormatting>
  <conditionalFormatting sqref="A1:K1">
    <cfRule type="cellIs" dxfId="15" priority="38" operator="equal">
      <formula>0</formula>
    </cfRule>
  </conditionalFormatting>
  <conditionalFormatting sqref="C6">
    <cfRule type="cellIs" dxfId="14" priority="25" operator="equal">
      <formula>45292</formula>
    </cfRule>
  </conditionalFormatting>
  <conditionalFormatting sqref="C13">
    <cfRule type="cellIs" dxfId="12" priority="2" operator="equal">
      <formula>0</formula>
    </cfRule>
  </conditionalFormatting>
  <conditionalFormatting sqref="C18 H18 H20:L20">
    <cfRule type="containsBlanks" dxfId="11" priority="36">
      <formula>LEN(TRIM(C18))=0</formula>
    </cfRule>
  </conditionalFormatting>
  <conditionalFormatting sqref="C8:M12">
    <cfRule type="containsBlanks" dxfId="10" priority="35">
      <formula>LEN(TRIM(C8))=0</formula>
    </cfRule>
  </conditionalFormatting>
  <conditionalFormatting sqref="E27:I37">
    <cfRule type="containsBlanks" dxfId="9" priority="7">
      <formula>LEN(TRIM(E27))=0</formula>
    </cfRule>
  </conditionalFormatting>
  <conditionalFormatting sqref="H22:L22 C22">
    <cfRule type="containsErrors" dxfId="8" priority="39">
      <formula>ISERROR(C22)</formula>
    </cfRule>
  </conditionalFormatting>
  <conditionalFormatting sqref="H22:L22">
    <cfRule type="containsErrors" dxfId="7" priority="33">
      <formula>ISERROR(H22)</formula>
    </cfRule>
  </conditionalFormatting>
  <conditionalFormatting sqref="M18:M22">
    <cfRule type="containsBlanks" dxfId="6" priority="26">
      <formula>LEN(TRIM(M18))=0</formula>
    </cfRule>
  </conditionalFormatting>
  <pageMargins left="0.7" right="0.7" top="0.75" bottom="0.75" header="0.3" footer="0.3"/>
  <pageSetup scale="51"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E9E55B28-6C87-4A99-93BA-76D38A63E260}">
            <xm:f>'1. DistrictInfo'!$C$19</xm:f>
            <x14:dxf>
              <font>
                <color rgb="FFFF0000"/>
              </font>
              <fill>
                <patternFill>
                  <bgColor rgb="FFFF0000"/>
                </patternFill>
              </fill>
            </x14:dxf>
          </x14:cfRule>
          <xm:sqref>C13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9"/>
  <sheetViews>
    <sheetView zoomScale="160" zoomScaleNormal="160" workbookViewId="0">
      <selection activeCell="C11" sqref="C11"/>
    </sheetView>
  </sheetViews>
  <sheetFormatPr defaultColWidth="9.140625" defaultRowHeight="15" x14ac:dyDescent="0.25"/>
  <cols>
    <col min="1" max="1" width="31.140625" style="182" customWidth="1"/>
    <col min="2" max="2" width="28" style="182" customWidth="1"/>
    <col min="3" max="3" width="29.28515625" style="182" customWidth="1"/>
    <col min="4" max="16384" width="9.140625" style="182"/>
  </cols>
  <sheetData>
    <row r="1" spans="1:7" ht="14.45" x14ac:dyDescent="0.35">
      <c r="A1" s="270" t="str">
        <f>UPPER('1. DistrictInfo'!B2)</f>
        <v/>
      </c>
      <c r="B1" s="270"/>
      <c r="C1" s="270"/>
    </row>
    <row r="2" spans="1:7" ht="14.45" x14ac:dyDescent="0.35">
      <c r="A2" s="270" t="s">
        <v>61</v>
      </c>
      <c r="B2" s="270"/>
      <c r="C2" s="270"/>
    </row>
    <row r="3" spans="1:7" ht="14.45" x14ac:dyDescent="0.35">
      <c r="A3" s="269" t="str">
        <f>CONCATENATE("for ", '1. DistrictInfo'!B9," Project")</f>
        <v>for  Project</v>
      </c>
      <c r="B3" s="269"/>
      <c r="C3" s="269"/>
    </row>
    <row r="4" spans="1:7" ht="14.45" x14ac:dyDescent="0.35">
      <c r="A4" s="271" t="s">
        <v>149</v>
      </c>
      <c r="B4" s="271"/>
      <c r="C4" s="271"/>
    </row>
    <row r="6" spans="1:7" ht="14.45" x14ac:dyDescent="0.35">
      <c r="A6" s="273" t="s">
        <v>234</v>
      </c>
      <c r="B6" s="273"/>
      <c r="C6" s="273"/>
    </row>
    <row r="7" spans="1:7" ht="14.45" x14ac:dyDescent="0.35">
      <c r="A7" s="274" t="s">
        <v>62</v>
      </c>
      <c r="B7" s="274"/>
      <c r="C7" s="183">
        <f>'4. Bonding'!H13</f>
        <v>0</v>
      </c>
    </row>
    <row r="8" spans="1:7" ht="14.45" x14ac:dyDescent="0.35">
      <c r="A8" s="274" t="s">
        <v>63</v>
      </c>
      <c r="B8" s="274"/>
      <c r="C8" s="183">
        <f>Rollup!F36</f>
        <v>0</v>
      </c>
    </row>
    <row r="9" spans="1:7" thickBot="1" x14ac:dyDescent="0.4">
      <c r="A9" s="274" t="s">
        <v>59</v>
      </c>
      <c r="B9" s="274"/>
      <c r="C9" s="184">
        <f>-Rollup!G36</f>
        <v>0</v>
      </c>
    </row>
    <row r="10" spans="1:7" ht="15.6" thickTop="1" thickBot="1" x14ac:dyDescent="0.4">
      <c r="A10" s="262" t="s">
        <v>189</v>
      </c>
      <c r="B10" s="262"/>
      <c r="C10" s="185">
        <f>SUM(C7:C9)</f>
        <v>0</v>
      </c>
    </row>
    <row r="11" spans="1:7" thickBot="1" x14ac:dyDescent="0.4">
      <c r="A11" s="267" t="s">
        <v>188</v>
      </c>
      <c r="B11" s="268"/>
      <c r="C11" s="193"/>
    </row>
    <row r="12" spans="1:7" ht="14.45" x14ac:dyDescent="0.35">
      <c r="C12" s="183"/>
    </row>
    <row r="13" spans="1:7" ht="14.45" x14ac:dyDescent="0.35">
      <c r="A13" s="272" t="s">
        <v>235</v>
      </c>
      <c r="B13" s="272"/>
      <c r="C13" s="272"/>
    </row>
    <row r="14" spans="1:7" ht="14.45" x14ac:dyDescent="0.35">
      <c r="A14" s="274" t="s">
        <v>62</v>
      </c>
      <c r="B14" s="274"/>
      <c r="C14" s="183">
        <f>SUM('4. Bonding'!I13:L13)</f>
        <v>0</v>
      </c>
      <c r="G14" s="186"/>
    </row>
    <row r="15" spans="1:7" ht="14.45" x14ac:dyDescent="0.35">
      <c r="A15" s="274" t="s">
        <v>63</v>
      </c>
      <c r="B15" s="274"/>
      <c r="C15" s="183">
        <f>Rollup!I36</f>
        <v>0</v>
      </c>
    </row>
    <row r="16" spans="1:7" thickBot="1" x14ac:dyDescent="0.4">
      <c r="A16" s="261" t="s">
        <v>59</v>
      </c>
      <c r="B16" s="261"/>
      <c r="C16" s="184">
        <f>-(Rollup!J36)</f>
        <v>0</v>
      </c>
    </row>
    <row r="17" spans="1:3" thickTop="1" x14ac:dyDescent="0.35">
      <c r="A17" s="262" t="s">
        <v>141</v>
      </c>
      <c r="B17" s="262"/>
      <c r="C17" s="187">
        <f>SUM(C13:C16)</f>
        <v>0</v>
      </c>
    </row>
    <row r="18" spans="1:3" ht="14.45" x14ac:dyDescent="0.35">
      <c r="C18" s="183"/>
    </row>
    <row r="19" spans="1:3" ht="14.45" x14ac:dyDescent="0.35">
      <c r="A19" s="266" t="s">
        <v>199</v>
      </c>
      <c r="B19" s="266"/>
      <c r="C19" s="266"/>
    </row>
    <row r="20" spans="1:3" ht="14.45" x14ac:dyDescent="0.35">
      <c r="A20" s="188" t="s">
        <v>153</v>
      </c>
      <c r="B20" s="188" t="s">
        <v>154</v>
      </c>
      <c r="C20" s="188" t="s">
        <v>155</v>
      </c>
    </row>
    <row r="21" spans="1:3" ht="14.45" x14ac:dyDescent="0.35">
      <c r="A21" s="113" t="e">
        <f>IF(AND('1. DistrictInfo'!C18&lt;='1. DistrictInfo'!B18,'1. DistrictInfo'!C19&gt;='1. DistrictInfo'!B19),"Eligible","Ineligible")</f>
        <v>#N/A</v>
      </c>
      <c r="B21" s="113" t="e">
        <f>IF(AND('1. DistrictInfo'!C22&lt;='1. DistrictInfo'!B22,'1. DistrictInfo'!C23&gt;='1. DistrictInfo'!B23),"Eligible","Ineligible")</f>
        <v>#N/A</v>
      </c>
      <c r="C21" s="113" t="s">
        <v>233</v>
      </c>
    </row>
    <row r="23" spans="1:3" ht="14.45" x14ac:dyDescent="0.35">
      <c r="A23" s="263" t="s">
        <v>179</v>
      </c>
      <c r="B23" s="263"/>
      <c r="C23" s="263"/>
    </row>
    <row r="24" spans="1:3" ht="129.75" customHeight="1" x14ac:dyDescent="0.25">
      <c r="A24" s="265"/>
      <c r="B24" s="265"/>
      <c r="C24" s="265"/>
    </row>
    <row r="26" spans="1:3" x14ac:dyDescent="0.25">
      <c r="A26" s="189" t="s">
        <v>60</v>
      </c>
      <c r="B26" s="189"/>
      <c r="C26" s="189"/>
    </row>
    <row r="28" spans="1:3" x14ac:dyDescent="0.25">
      <c r="A28" s="264"/>
      <c r="B28" s="264"/>
      <c r="C28" s="264"/>
    </row>
    <row r="29" spans="1:3" x14ac:dyDescent="0.25">
      <c r="A29" s="260" t="str">
        <f>CONCATENATE('1. DistrictInfo'!B3, ", ",'1. DistrictInfo'!A3)</f>
        <v>, Superintendent</v>
      </c>
      <c r="B29" s="260"/>
      <c r="C29" s="163" t="s">
        <v>68</v>
      </c>
    </row>
    <row r="31" spans="1:3" x14ac:dyDescent="0.25">
      <c r="A31" s="264"/>
      <c r="B31" s="264"/>
      <c r="C31" s="264"/>
    </row>
    <row r="32" spans="1:3" x14ac:dyDescent="0.25">
      <c r="A32" s="260" t="str">
        <f>CONCATENATE('1. DistrictInfo'!B4, ", ",'1. DistrictInfo'!A4)</f>
        <v>, District Representative</v>
      </c>
      <c r="B32" s="260"/>
      <c r="C32" s="163" t="s">
        <v>68</v>
      </c>
    </row>
    <row r="33" spans="1:3" x14ac:dyDescent="0.25">
      <c r="A33" s="114"/>
      <c r="B33" s="114"/>
      <c r="C33" s="163"/>
    </row>
    <row r="34" spans="1:3" x14ac:dyDescent="0.25">
      <c r="A34" s="114"/>
      <c r="B34" s="114"/>
      <c r="C34" s="190"/>
    </row>
    <row r="35" spans="1:3" x14ac:dyDescent="0.25">
      <c r="A35" s="259" t="str">
        <f>CONCATENATE('1. DistrictInfo'!B5, ", ",'1. DistrictInfo'!A5)</f>
        <v>, District Financial Officer</v>
      </c>
      <c r="B35" s="259"/>
      <c r="C35" s="163" t="s">
        <v>68</v>
      </c>
    </row>
    <row r="37" spans="1:3" x14ac:dyDescent="0.25">
      <c r="A37" s="264"/>
      <c r="B37" s="264"/>
      <c r="C37" s="264"/>
    </row>
    <row r="38" spans="1:3" x14ac:dyDescent="0.25">
      <c r="A38" s="259" t="str">
        <f>CONCATENATE('1. DistrictInfo'!B7, ", ",'1. DistrictInfo'!A7, " (",'1. DistrictInfo'!B6,")")</f>
        <v>, Bond Advisor ()</v>
      </c>
      <c r="B38" s="259"/>
      <c r="C38" s="163" t="s">
        <v>68</v>
      </c>
    </row>
    <row r="39" spans="1:3" x14ac:dyDescent="0.25">
      <c r="A39" s="191"/>
      <c r="B39" s="192"/>
    </row>
  </sheetData>
  <sheetProtection algorithmName="SHA-512" hashValue="+Ru+9N/ltz4rotrVSxM5dH9MGcQ0d+clAUyaxTBFnrHPLmTeioD7pi1DgJzGymhJKyEBgjAaQG+LJIEdaSE48A==" saltValue="YLrF4c02VcDvPQ5FKWqLxA==" spinCount="100000" sheet="1" objects="1" scenarios="1" selectLockedCells="1"/>
  <mergeCells count="25">
    <mergeCell ref="A11:B11"/>
    <mergeCell ref="A35:B35"/>
    <mergeCell ref="A3:C3"/>
    <mergeCell ref="A1:C1"/>
    <mergeCell ref="A2:C2"/>
    <mergeCell ref="A4:C4"/>
    <mergeCell ref="A28:C28"/>
    <mergeCell ref="A31:C31"/>
    <mergeCell ref="A13:C13"/>
    <mergeCell ref="A6:C6"/>
    <mergeCell ref="A10:B10"/>
    <mergeCell ref="A7:B7"/>
    <mergeCell ref="A8:B8"/>
    <mergeCell ref="A9:B9"/>
    <mergeCell ref="A14:B14"/>
    <mergeCell ref="A15:B15"/>
    <mergeCell ref="A38:B38"/>
    <mergeCell ref="A29:B29"/>
    <mergeCell ref="A16:B16"/>
    <mergeCell ref="A17:B17"/>
    <mergeCell ref="A23:C23"/>
    <mergeCell ref="A37:C37"/>
    <mergeCell ref="A24:C24"/>
    <mergeCell ref="A32:B32"/>
    <mergeCell ref="A19:C19"/>
  </mergeCells>
  <conditionalFormatting sqref="A21:C21">
    <cfRule type="containsText" dxfId="5" priority="2" operator="containsText" text="Ineligible">
      <formula>NOT(ISERROR(SEARCH("Ineligible",A21)))</formula>
    </cfRule>
    <cfRule type="containsText" dxfId="4" priority="3" operator="containsText" text="Eligible">
      <formula>NOT(ISERROR(SEARCH("Eligible",A21)))</formula>
    </cfRule>
    <cfRule type="containsErrors" dxfId="3" priority="5">
      <formula>ISERROR(A21)</formula>
    </cfRule>
  </conditionalFormatting>
  <conditionalFormatting sqref="A24:C24">
    <cfRule type="containsBlanks" dxfId="2" priority="4">
      <formula>LEN(TRIM(A24))=0</formula>
    </cfRule>
  </conditionalFormatting>
  <conditionalFormatting sqref="C11">
    <cfRule type="containsBlanks" dxfId="1" priority="1">
      <formula>LEN(TRIM(C11))=0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6"/>
  <sheetViews>
    <sheetView workbookViewId="0">
      <selection activeCell="O14" sqref="O14"/>
    </sheetView>
  </sheetViews>
  <sheetFormatPr defaultColWidth="8.85546875" defaultRowHeight="15" x14ac:dyDescent="0.25"/>
  <cols>
    <col min="1" max="1" width="7.140625" customWidth="1"/>
    <col min="2" max="2" width="31.42578125" bestFit="1" customWidth="1"/>
    <col min="3" max="11" width="16.7109375" customWidth="1"/>
  </cols>
  <sheetData>
    <row r="1" spans="1:11" ht="29.1" x14ac:dyDescent="0.35">
      <c r="A1" s="8" t="s">
        <v>11</v>
      </c>
      <c r="B1" s="9" t="s">
        <v>12</v>
      </c>
      <c r="C1" s="10" t="s">
        <v>50</v>
      </c>
      <c r="D1" s="10" t="s">
        <v>51</v>
      </c>
      <c r="E1" s="10" t="s">
        <v>52</v>
      </c>
      <c r="F1" s="10" t="s">
        <v>53</v>
      </c>
      <c r="G1" s="10" t="s">
        <v>54</v>
      </c>
      <c r="H1" s="10" t="s">
        <v>55</v>
      </c>
      <c r="I1" s="10" t="s">
        <v>58</v>
      </c>
      <c r="J1" s="10" t="s">
        <v>56</v>
      </c>
      <c r="K1" s="11" t="s">
        <v>57</v>
      </c>
    </row>
    <row r="2" spans="1:11" ht="14.45" x14ac:dyDescent="0.35">
      <c r="A2" s="7">
        <v>11000</v>
      </c>
      <c r="B2" s="2" t="s">
        <v>1</v>
      </c>
      <c r="C2" s="3">
        <f>SUMIFS(Table1[Total Actuals],Table1[FUND],Rollup!A2)</f>
        <v>0</v>
      </c>
      <c r="D2" s="3">
        <f>SUMIFS(Table13[Total Actuals],Table13[FUND],Rollup!A2)</f>
        <v>0</v>
      </c>
      <c r="E2" s="3">
        <f>C2-D2</f>
        <v>0</v>
      </c>
      <c r="F2" s="3">
        <f>SUMIFS(Table1[FY26],Table1[FUND],Rollup!A2)</f>
        <v>0</v>
      </c>
      <c r="G2" s="3">
        <f>SUMIFS(Table13[FY26],Table13[FUND],Rollup!A2)</f>
        <v>0</v>
      </c>
      <c r="H2" s="3">
        <f>F2-G2</f>
        <v>0</v>
      </c>
      <c r="I2" s="3">
        <f>SUMIFS(Table1[Total Estimate],Table1[FUND],Rollup!A2)</f>
        <v>0</v>
      </c>
      <c r="J2" s="3">
        <f>SUMIFS(Table13[Total Estimate],Table13[FUND],Rollup!A2)</f>
        <v>0</v>
      </c>
      <c r="K2" s="19">
        <f>I2-J2</f>
        <v>0</v>
      </c>
    </row>
    <row r="3" spans="1:11" ht="14.45" x14ac:dyDescent="0.35">
      <c r="A3" s="7">
        <v>12000</v>
      </c>
      <c r="B3" s="2" t="s">
        <v>13</v>
      </c>
      <c r="C3" s="3">
        <f>SUMIFS(Table1[Total Actuals],Table1[FUND],Rollup!A3)</f>
        <v>0</v>
      </c>
      <c r="D3" s="3">
        <f>SUMIFS(Table13[Total Actuals],Table13[FUND],Rollup!A3)</f>
        <v>0</v>
      </c>
      <c r="E3" s="3">
        <f t="shared" ref="E3:E34" si="0">C3-D3</f>
        <v>0</v>
      </c>
      <c r="F3" s="3">
        <f>SUMIFS(Table1[FY26],Table1[FUND],Rollup!A3)</f>
        <v>0</v>
      </c>
      <c r="G3" s="3">
        <f>SUMIFS(Table13[FY26],Table13[FUND],Rollup!A3)</f>
        <v>0</v>
      </c>
      <c r="H3" s="3">
        <f t="shared" ref="H3:H34" si="1">F3-G3</f>
        <v>0</v>
      </c>
      <c r="I3" s="3">
        <f>SUMIFS(Table1[Total Estimate],Table1[FUND],Rollup!A3)</f>
        <v>0</v>
      </c>
      <c r="J3" s="3">
        <f>SUMIFS(Table13[Total Estimate],Table13[FUND],Rollup!A3)</f>
        <v>0</v>
      </c>
      <c r="K3" s="19">
        <f t="shared" ref="K3:K34" si="2">I3-J3</f>
        <v>0</v>
      </c>
    </row>
    <row r="4" spans="1:11" ht="14.45" x14ac:dyDescent="0.35">
      <c r="A4" s="7">
        <v>13000</v>
      </c>
      <c r="B4" s="2" t="s">
        <v>14</v>
      </c>
      <c r="C4" s="3">
        <f>SUMIFS(Table1[Total Actuals],Table1[FUND],Rollup!A4)</f>
        <v>0</v>
      </c>
      <c r="D4" s="3">
        <f>SUMIFS(Table13[Total Actuals],Table13[FUND],Rollup!A4)</f>
        <v>0</v>
      </c>
      <c r="E4" s="3">
        <f t="shared" si="0"/>
        <v>0</v>
      </c>
      <c r="F4" s="3">
        <f>SUMIFS(Table1[FY26],Table1[FUND],Rollup!A4)</f>
        <v>0</v>
      </c>
      <c r="G4" s="3">
        <f>SUMIFS(Table13[FY26],Table13[FUND],Rollup!A4)</f>
        <v>0</v>
      </c>
      <c r="H4" s="3">
        <f t="shared" si="1"/>
        <v>0</v>
      </c>
      <c r="I4" s="3">
        <f>SUMIFS(Table1[Total Estimate],Table1[FUND],Rollup!A4)</f>
        <v>0</v>
      </c>
      <c r="J4" s="3">
        <f>SUMIFS(Table13[Total Estimate],Table13[FUND],Rollup!A4)</f>
        <v>0</v>
      </c>
      <c r="K4" s="19">
        <f t="shared" si="2"/>
        <v>0</v>
      </c>
    </row>
    <row r="5" spans="1:11" ht="14.45" x14ac:dyDescent="0.35">
      <c r="A5" s="7">
        <v>14000</v>
      </c>
      <c r="B5" s="2" t="s">
        <v>15</v>
      </c>
      <c r="C5" s="3">
        <f>SUMIFS(Table1[Total Actuals],Table1[FUND],Rollup!A5)</f>
        <v>0</v>
      </c>
      <c r="D5" s="3">
        <f>SUMIFS(Table13[Total Actuals],Table13[FUND],Rollup!A5)</f>
        <v>0</v>
      </c>
      <c r="E5" s="3">
        <f t="shared" si="0"/>
        <v>0</v>
      </c>
      <c r="F5" s="3">
        <f>SUMIFS(Table1[FY26],Table1[FUND],Rollup!A5)</f>
        <v>0</v>
      </c>
      <c r="G5" s="3">
        <f>SUMIFS(Table13[FY26],Table13[FUND],Rollup!A5)</f>
        <v>0</v>
      </c>
      <c r="H5" s="3">
        <f t="shared" si="1"/>
        <v>0</v>
      </c>
      <c r="I5" s="3">
        <f>SUMIFS(Table1[Total Estimate],Table1[FUND],Rollup!A5)</f>
        <v>0</v>
      </c>
      <c r="J5" s="3">
        <f>SUMIFS(Table13[Total Estimate],Table13[FUND],Rollup!A5)</f>
        <v>0</v>
      </c>
      <c r="K5" s="19">
        <f t="shared" si="2"/>
        <v>0</v>
      </c>
    </row>
    <row r="6" spans="1:11" ht="14.45" x14ac:dyDescent="0.35">
      <c r="A6" s="7">
        <v>15100</v>
      </c>
      <c r="B6" s="2" t="s">
        <v>16</v>
      </c>
      <c r="C6" s="3">
        <f>SUMIFS(Table1[Total Actuals],Table1[FUND],Rollup!A6)</f>
        <v>0</v>
      </c>
      <c r="D6" s="3">
        <f>SUMIFS(Table13[Total Actuals],Table13[FUND],Rollup!A6)</f>
        <v>0</v>
      </c>
      <c r="E6" s="3">
        <f t="shared" si="0"/>
        <v>0</v>
      </c>
      <c r="F6" s="3">
        <f>SUMIFS(Table1[FY26],Table1[FUND],Rollup!A6)</f>
        <v>0</v>
      </c>
      <c r="G6" s="3">
        <f>SUMIFS(Table13[FY26],Table13[FUND],Rollup!A6)</f>
        <v>0</v>
      </c>
      <c r="H6" s="3">
        <f t="shared" si="1"/>
        <v>0</v>
      </c>
      <c r="I6" s="3">
        <f>SUMIFS(Table1[Total Estimate],Table1[FUND],Rollup!A6)</f>
        <v>0</v>
      </c>
      <c r="J6" s="3">
        <f>SUMIFS(Table13[Total Estimate],Table13[FUND],Rollup!A6)</f>
        <v>0</v>
      </c>
      <c r="K6" s="19">
        <f t="shared" si="2"/>
        <v>0</v>
      </c>
    </row>
    <row r="7" spans="1:11" ht="14.45" x14ac:dyDescent="0.35">
      <c r="A7" s="7">
        <v>15200</v>
      </c>
      <c r="B7" s="2" t="s">
        <v>17</v>
      </c>
      <c r="C7" s="3">
        <f>SUMIFS(Table1[Total Actuals],Table1[FUND],Rollup!A7)</f>
        <v>0</v>
      </c>
      <c r="D7" s="3">
        <f>SUMIFS(Table13[Total Actuals],Table13[FUND],Rollup!A7)</f>
        <v>0</v>
      </c>
      <c r="E7" s="3">
        <f t="shared" si="0"/>
        <v>0</v>
      </c>
      <c r="F7" s="3">
        <f>SUMIFS(Table1[FY26],Table1[FUND],Rollup!A7)</f>
        <v>0</v>
      </c>
      <c r="G7" s="3">
        <f>SUMIFS(Table13[FY26],Table13[FUND],Rollup!A7)</f>
        <v>0</v>
      </c>
      <c r="H7" s="3">
        <f t="shared" si="1"/>
        <v>0</v>
      </c>
      <c r="I7" s="3">
        <f>SUMIFS(Table1[Total Estimate],Table1[FUND],Rollup!A7)</f>
        <v>0</v>
      </c>
      <c r="J7" s="3">
        <f>SUMIFS(Table13[Total Estimate],Table13[FUND],Rollup!A7)</f>
        <v>0</v>
      </c>
      <c r="K7" s="19">
        <f t="shared" si="2"/>
        <v>0</v>
      </c>
    </row>
    <row r="8" spans="1:11" ht="14.45" x14ac:dyDescent="0.35">
      <c r="A8" s="7">
        <v>21000</v>
      </c>
      <c r="B8" s="2" t="s">
        <v>18</v>
      </c>
      <c r="C8" s="3">
        <f>SUMIFS(Table1[Total Actuals],Table1[FUND],Rollup!A8)</f>
        <v>0</v>
      </c>
      <c r="D8" s="3">
        <f>SUMIFS(Table13[Total Actuals],Table13[FUND],Rollup!A8)</f>
        <v>0</v>
      </c>
      <c r="E8" s="3">
        <f t="shared" si="0"/>
        <v>0</v>
      </c>
      <c r="F8" s="3">
        <f>SUMIFS(Table1[FY26],Table1[FUND],Rollup!A8)</f>
        <v>0</v>
      </c>
      <c r="G8" s="3">
        <f>SUMIFS(Table13[FY26],Table13[FUND],Rollup!A8)</f>
        <v>0</v>
      </c>
      <c r="H8" s="3">
        <f t="shared" si="1"/>
        <v>0</v>
      </c>
      <c r="I8" s="3">
        <f>SUMIFS(Table1[Total Estimate],Table1[FUND],Rollup!A8)</f>
        <v>0</v>
      </c>
      <c r="J8" s="3">
        <f>SUMIFS(Table13[Total Estimate],Table13[FUND],Rollup!A8)</f>
        <v>0</v>
      </c>
      <c r="K8" s="19">
        <f t="shared" si="2"/>
        <v>0</v>
      </c>
    </row>
    <row r="9" spans="1:11" ht="14.45" x14ac:dyDescent="0.35">
      <c r="A9" s="7">
        <v>22000</v>
      </c>
      <c r="B9" s="2" t="s">
        <v>19</v>
      </c>
      <c r="C9" s="3">
        <f>SUMIFS(Table1[Total Actuals],Table1[FUND],Rollup!A9)</f>
        <v>0</v>
      </c>
      <c r="D9" s="3">
        <f>SUMIFS(Table13[Total Actuals],Table13[FUND],Rollup!A9)</f>
        <v>0</v>
      </c>
      <c r="E9" s="3">
        <f t="shared" si="0"/>
        <v>0</v>
      </c>
      <c r="F9" s="3">
        <f>SUMIFS(Table1[FY26],Table1[FUND],Rollup!A9)</f>
        <v>0</v>
      </c>
      <c r="G9" s="3">
        <f>SUMIFS(Table13[FY26],Table13[FUND],Rollup!A9)</f>
        <v>0</v>
      </c>
      <c r="H9" s="3">
        <f t="shared" si="1"/>
        <v>0</v>
      </c>
      <c r="I9" s="3">
        <f>SUMIFS(Table1[Total Estimate],Table1[FUND],Rollup!A9)</f>
        <v>0</v>
      </c>
      <c r="J9" s="3">
        <f>SUMIFS(Table13[Total Estimate],Table13[FUND],Rollup!A9)</f>
        <v>0</v>
      </c>
      <c r="K9" s="19">
        <f t="shared" si="2"/>
        <v>0</v>
      </c>
    </row>
    <row r="10" spans="1:11" ht="14.45" x14ac:dyDescent="0.35">
      <c r="A10" s="7">
        <v>23000</v>
      </c>
      <c r="B10" s="2" t="s">
        <v>20</v>
      </c>
      <c r="C10" s="3">
        <f>SUMIFS(Table1[Total Actuals],Table1[FUND],Rollup!A10)</f>
        <v>0</v>
      </c>
      <c r="D10" s="3">
        <f>SUMIFS(Table13[Total Actuals],Table13[FUND],Rollup!A10)</f>
        <v>0</v>
      </c>
      <c r="E10" s="3">
        <f t="shared" si="0"/>
        <v>0</v>
      </c>
      <c r="F10" s="3">
        <f>SUMIFS(Table1[FY26],Table1[FUND],Rollup!A10)</f>
        <v>0</v>
      </c>
      <c r="G10" s="3">
        <f>SUMIFS(Table13[FY26],Table13[FUND],Rollup!A10)</f>
        <v>0</v>
      </c>
      <c r="H10" s="3">
        <f t="shared" si="1"/>
        <v>0</v>
      </c>
      <c r="I10" s="3">
        <f>SUMIFS(Table1[Total Estimate],Table1[FUND],Rollup!A10)</f>
        <v>0</v>
      </c>
      <c r="J10" s="3">
        <f>SUMIFS(Table13[Total Estimate],Table13[FUND],Rollup!A10)</f>
        <v>0</v>
      </c>
      <c r="K10" s="19">
        <f t="shared" si="2"/>
        <v>0</v>
      </c>
    </row>
    <row r="11" spans="1:11" ht="14.45" x14ac:dyDescent="0.35">
      <c r="A11" s="7">
        <v>24000</v>
      </c>
      <c r="B11" s="2" t="s">
        <v>21</v>
      </c>
      <c r="C11" s="3">
        <f>SUMIFS(Table1[Total Actuals],Table1[FUND],Rollup!A11)</f>
        <v>0</v>
      </c>
      <c r="D11" s="3">
        <f>SUMIFS(Table13[Total Actuals],Table13[FUND],Rollup!A11)</f>
        <v>0</v>
      </c>
      <c r="E11" s="3">
        <f t="shared" si="0"/>
        <v>0</v>
      </c>
      <c r="F11" s="3">
        <f>SUMIFS(Table1[FY26],Table1[FUND],Rollup!A11)</f>
        <v>0</v>
      </c>
      <c r="G11" s="3">
        <f>SUMIFS(Table13[FY26],Table13[FUND],Rollup!A11)</f>
        <v>0</v>
      </c>
      <c r="H11" s="3">
        <f t="shared" si="1"/>
        <v>0</v>
      </c>
      <c r="I11" s="3">
        <f>SUMIFS(Table1[Total Estimate],Table1[FUND],Rollup!A11)</f>
        <v>0</v>
      </c>
      <c r="J11" s="3">
        <f>SUMIFS(Table13[Total Estimate],Table13[FUND],Rollup!A11)</f>
        <v>0</v>
      </c>
      <c r="K11" s="19">
        <f t="shared" si="2"/>
        <v>0</v>
      </c>
    </row>
    <row r="12" spans="1:11" ht="14.45" x14ac:dyDescent="0.35">
      <c r="A12" s="7">
        <v>25000</v>
      </c>
      <c r="B12" s="2" t="s">
        <v>22</v>
      </c>
      <c r="C12" s="3">
        <f>SUMIFS(Table1[Total Actuals],Table1[FUND],Rollup!A12)</f>
        <v>0</v>
      </c>
      <c r="D12" s="3">
        <f>SUMIFS(Table13[Total Actuals],Table13[FUND],Rollup!A12)</f>
        <v>0</v>
      </c>
      <c r="E12" s="3">
        <f t="shared" si="0"/>
        <v>0</v>
      </c>
      <c r="F12" s="3">
        <f>SUMIFS(Table1[FY26],Table1[FUND],Rollup!A12)</f>
        <v>0</v>
      </c>
      <c r="G12" s="3">
        <f>SUMIFS(Table13[FY26],Table13[FUND],Rollup!A12)</f>
        <v>0</v>
      </c>
      <c r="H12" s="3">
        <f t="shared" si="1"/>
        <v>0</v>
      </c>
      <c r="I12" s="3">
        <f>SUMIFS(Table1[Total Estimate],Table1[FUND],Rollup!A12)</f>
        <v>0</v>
      </c>
      <c r="J12" s="3">
        <f>SUMIFS(Table13[Total Estimate],Table13[FUND],Rollup!A12)</f>
        <v>0</v>
      </c>
      <c r="K12" s="19">
        <f t="shared" si="2"/>
        <v>0</v>
      </c>
    </row>
    <row r="13" spans="1:11" ht="14.45" x14ac:dyDescent="0.35">
      <c r="A13" s="7">
        <v>26000</v>
      </c>
      <c r="B13" s="2" t="s">
        <v>23</v>
      </c>
      <c r="C13" s="3">
        <f>SUMIFS(Table1[Total Actuals],Table1[FUND],Rollup!A13)</f>
        <v>0</v>
      </c>
      <c r="D13" s="3">
        <f>SUMIFS(Table13[Total Actuals],Table13[FUND],Rollup!A13)</f>
        <v>0</v>
      </c>
      <c r="E13" s="3">
        <f t="shared" si="0"/>
        <v>0</v>
      </c>
      <c r="F13" s="3">
        <f>SUMIFS(Table1[FY26],Table1[FUND],Rollup!A13)</f>
        <v>0</v>
      </c>
      <c r="G13" s="3">
        <f>SUMIFS(Table13[FY26],Table13[FUND],Rollup!A13)</f>
        <v>0</v>
      </c>
      <c r="H13" s="3">
        <f t="shared" si="1"/>
        <v>0</v>
      </c>
      <c r="I13" s="3">
        <f>SUMIFS(Table1[Total Estimate],Table1[FUND],Rollup!A13)</f>
        <v>0</v>
      </c>
      <c r="J13" s="3">
        <f>SUMIFS(Table13[Total Estimate],Table13[FUND],Rollup!A13)</f>
        <v>0</v>
      </c>
      <c r="K13" s="19">
        <f t="shared" si="2"/>
        <v>0</v>
      </c>
    </row>
    <row r="14" spans="1:11" ht="14.45" x14ac:dyDescent="0.35">
      <c r="A14" s="7">
        <v>27000</v>
      </c>
      <c r="B14" s="2" t="s">
        <v>24</v>
      </c>
      <c r="C14" s="3">
        <f>SUMIFS(Table1[Total Actuals],Table1[FUND],Rollup!A14)</f>
        <v>0</v>
      </c>
      <c r="D14" s="3">
        <f>SUMIFS(Table13[Total Actuals],Table13[FUND],Rollup!A14)</f>
        <v>0</v>
      </c>
      <c r="E14" s="3">
        <f t="shared" si="0"/>
        <v>0</v>
      </c>
      <c r="F14" s="3">
        <f>SUMIFS(Table1[FY26],Table1[FUND],Rollup!A14)</f>
        <v>0</v>
      </c>
      <c r="G14" s="3">
        <f>SUMIFS(Table13[FY26],Table13[FUND],Rollup!A14)</f>
        <v>0</v>
      </c>
      <c r="H14" s="3">
        <f t="shared" si="1"/>
        <v>0</v>
      </c>
      <c r="I14" s="3">
        <f>SUMIFS(Table1[Total Estimate],Table1[FUND],Rollup!A14)</f>
        <v>0</v>
      </c>
      <c r="J14" s="3">
        <f>SUMIFS(Table13[Total Estimate],Table13[FUND],Rollup!A14)</f>
        <v>0</v>
      </c>
      <c r="K14" s="19">
        <f t="shared" si="2"/>
        <v>0</v>
      </c>
    </row>
    <row r="15" spans="1:11" ht="14.45" x14ac:dyDescent="0.35">
      <c r="A15" s="7">
        <v>28000</v>
      </c>
      <c r="B15" s="2" t="s">
        <v>25</v>
      </c>
      <c r="C15" s="3">
        <f>SUMIFS(Table1[Total Actuals],Table1[FUND],Rollup!A15)</f>
        <v>0</v>
      </c>
      <c r="D15" s="3">
        <f>SUMIFS(Table13[Total Actuals],Table13[FUND],Rollup!A15)</f>
        <v>0</v>
      </c>
      <c r="E15" s="3">
        <f t="shared" si="0"/>
        <v>0</v>
      </c>
      <c r="F15" s="3">
        <f>SUMIFS(Table1[FY26],Table1[FUND],Rollup!A15)</f>
        <v>0</v>
      </c>
      <c r="G15" s="3">
        <f>SUMIFS(Table13[FY26],Table13[FUND],Rollup!A15)</f>
        <v>0</v>
      </c>
      <c r="H15" s="3">
        <f t="shared" si="1"/>
        <v>0</v>
      </c>
      <c r="I15" s="3">
        <f>SUMIFS(Table1[Total Estimate],Table1[FUND],Rollup!A15)</f>
        <v>0</v>
      </c>
      <c r="J15" s="3">
        <f>SUMIFS(Table13[Total Estimate],Table13[FUND],Rollup!A15)</f>
        <v>0</v>
      </c>
      <c r="K15" s="19">
        <f t="shared" si="2"/>
        <v>0</v>
      </c>
    </row>
    <row r="16" spans="1:11" ht="14.45" x14ac:dyDescent="0.35">
      <c r="A16" s="7">
        <v>29000</v>
      </c>
      <c r="B16" s="2" t="s">
        <v>26</v>
      </c>
      <c r="C16" s="3">
        <f>SUMIFS(Table1[Total Actuals],Table1[FUND],Rollup!A16)</f>
        <v>0</v>
      </c>
      <c r="D16" s="3">
        <f>SUMIFS(Table13[Total Actuals],Table13[FUND],Rollup!A16)</f>
        <v>0</v>
      </c>
      <c r="E16" s="3">
        <f t="shared" si="0"/>
        <v>0</v>
      </c>
      <c r="F16" s="3">
        <f>SUMIFS(Table1[FY26],Table1[FUND],Rollup!A16)</f>
        <v>0</v>
      </c>
      <c r="G16" s="3">
        <f>SUMIFS(Table13[FY26],Table13[FUND],Rollup!A16)</f>
        <v>0</v>
      </c>
      <c r="H16" s="3">
        <f t="shared" si="1"/>
        <v>0</v>
      </c>
      <c r="I16" s="3">
        <f>SUMIFS(Table1[Total Estimate],Table1[FUND],Rollup!A16)</f>
        <v>0</v>
      </c>
      <c r="J16" s="3">
        <f>SUMIFS(Table13[Total Estimate],Table13[FUND],Rollup!A16)</f>
        <v>0</v>
      </c>
      <c r="K16" s="19">
        <f t="shared" si="2"/>
        <v>0</v>
      </c>
    </row>
    <row r="17" spans="1:11" ht="14.45" x14ac:dyDescent="0.35">
      <c r="A17" s="7">
        <v>31100</v>
      </c>
      <c r="B17" s="2" t="s">
        <v>27</v>
      </c>
      <c r="C17" s="3">
        <f>SUMIFS(Table1[Total Actuals],Table1[FUND],Rollup!A17)</f>
        <v>0</v>
      </c>
      <c r="D17" s="3">
        <f>SUMIFS(Table13[Total Actuals],Table13[FUND],Rollup!A17)</f>
        <v>0</v>
      </c>
      <c r="E17" s="3">
        <f t="shared" si="0"/>
        <v>0</v>
      </c>
      <c r="F17" s="3">
        <f>SUMIFS(Table1[FY26],Table1[FUND],Rollup!A17)</f>
        <v>0</v>
      </c>
      <c r="G17" s="3">
        <f>SUMIFS(Table13[FY26],Table13[FUND],Rollup!A17)</f>
        <v>0</v>
      </c>
      <c r="H17" s="3">
        <f t="shared" si="1"/>
        <v>0</v>
      </c>
      <c r="I17" s="3">
        <f>SUMIFS(Table1[Total Estimate],Table1[FUND],Rollup!A17)</f>
        <v>0</v>
      </c>
      <c r="J17" s="3">
        <f>SUMIFS(Table13[Total Estimate],Table13[FUND],Rollup!A17)</f>
        <v>0</v>
      </c>
      <c r="K17" s="19">
        <f t="shared" si="2"/>
        <v>0</v>
      </c>
    </row>
    <row r="18" spans="1:11" ht="14.45" x14ac:dyDescent="0.35">
      <c r="A18" s="7">
        <v>31200</v>
      </c>
      <c r="B18" s="2" t="s">
        <v>28</v>
      </c>
      <c r="C18" s="3">
        <f>SUMIFS(Table1[Total Actuals],Table1[FUND],Rollup!A18)</f>
        <v>0</v>
      </c>
      <c r="D18" s="3">
        <f>SUMIFS(Table13[Total Actuals],Table13[FUND],Rollup!A18)</f>
        <v>0</v>
      </c>
      <c r="E18" s="3">
        <f t="shared" si="0"/>
        <v>0</v>
      </c>
      <c r="F18" s="3">
        <f>SUMIFS(Table1[FY26],Table1[FUND],Rollup!A18)</f>
        <v>0</v>
      </c>
      <c r="G18" s="3">
        <f>SUMIFS(Table13[FY26],Table13[FUND],Rollup!A18)</f>
        <v>0</v>
      </c>
      <c r="H18" s="3">
        <f t="shared" si="1"/>
        <v>0</v>
      </c>
      <c r="I18" s="3">
        <f>SUMIFS(Table1[Total Estimate],Table1[FUND],Rollup!A18)</f>
        <v>0</v>
      </c>
      <c r="J18" s="3">
        <f>SUMIFS(Table13[Total Estimate],Table13[FUND],Rollup!A18)</f>
        <v>0</v>
      </c>
      <c r="K18" s="19">
        <f t="shared" si="2"/>
        <v>0</v>
      </c>
    </row>
    <row r="19" spans="1:11" x14ac:dyDescent="0.25">
      <c r="A19" s="7">
        <v>31300</v>
      </c>
      <c r="B19" s="2" t="s">
        <v>29</v>
      </c>
      <c r="C19" s="3">
        <f>SUMIFS(Table1[Total Actuals],Table1[FUND],Rollup!A19)</f>
        <v>0</v>
      </c>
      <c r="D19" s="3">
        <f>SUMIFS(Table13[Total Actuals],Table13[FUND],Rollup!A19)</f>
        <v>0</v>
      </c>
      <c r="E19" s="3">
        <f t="shared" si="0"/>
        <v>0</v>
      </c>
      <c r="F19" s="3">
        <f>SUMIFS(Table1[FY26],Table1[FUND],Rollup!A19)</f>
        <v>0</v>
      </c>
      <c r="G19" s="3">
        <f>SUMIFS(Table13[FY26],Table13[FUND],Rollup!A19)</f>
        <v>0</v>
      </c>
      <c r="H19" s="3">
        <f t="shared" si="1"/>
        <v>0</v>
      </c>
      <c r="I19" s="3">
        <f>SUMIFS(Table1[Total Estimate],Table1[FUND],Rollup!A19)</f>
        <v>0</v>
      </c>
      <c r="J19" s="3">
        <f>SUMIFS(Table13[Total Estimate],Table13[FUND],Rollup!A19)</f>
        <v>0</v>
      </c>
      <c r="K19" s="19">
        <f t="shared" si="2"/>
        <v>0</v>
      </c>
    </row>
    <row r="20" spans="1:11" x14ac:dyDescent="0.25">
      <c r="A20" s="7">
        <v>31400</v>
      </c>
      <c r="B20" s="2" t="s">
        <v>30</v>
      </c>
      <c r="C20" s="3">
        <f>SUMIFS(Table1[Total Actuals],Table1[FUND],Rollup!A20)</f>
        <v>0</v>
      </c>
      <c r="D20" s="3">
        <f>SUMIFS(Table13[Total Actuals],Table13[FUND],Rollup!A20)</f>
        <v>0</v>
      </c>
      <c r="E20" s="3">
        <f t="shared" si="0"/>
        <v>0</v>
      </c>
      <c r="F20" s="3">
        <f>SUMIFS(Table1[FY26],Table1[FUND],Rollup!A20)</f>
        <v>0</v>
      </c>
      <c r="G20" s="3">
        <f>SUMIFS(Table13[FY26],Table13[FUND],Rollup!A20)</f>
        <v>0</v>
      </c>
      <c r="H20" s="3">
        <f t="shared" si="1"/>
        <v>0</v>
      </c>
      <c r="I20" s="3">
        <f>SUMIFS(Table1[Total Estimate],Table1[FUND],Rollup!A20)</f>
        <v>0</v>
      </c>
      <c r="J20" s="3">
        <f>SUMIFS(Table13[Total Estimate],Table13[FUND],Rollup!A20)</f>
        <v>0</v>
      </c>
      <c r="K20" s="19">
        <f t="shared" si="2"/>
        <v>0</v>
      </c>
    </row>
    <row r="21" spans="1:11" x14ac:dyDescent="0.25">
      <c r="A21" s="7">
        <v>31500</v>
      </c>
      <c r="B21" s="2" t="s">
        <v>31</v>
      </c>
      <c r="C21" s="3">
        <f>SUMIFS(Table1[Total Actuals],Table1[FUND],Rollup!A21)</f>
        <v>0</v>
      </c>
      <c r="D21" s="3">
        <f>SUMIFS(Table13[Total Actuals],Table13[FUND],Rollup!A21)</f>
        <v>0</v>
      </c>
      <c r="E21" s="3">
        <f t="shared" si="0"/>
        <v>0</v>
      </c>
      <c r="F21" s="3">
        <f>SUMIFS(Table1[FY26],Table1[FUND],Rollup!A21)</f>
        <v>0</v>
      </c>
      <c r="G21" s="3">
        <f>SUMIFS(Table13[FY26],Table13[FUND],Rollup!A21)</f>
        <v>0</v>
      </c>
      <c r="H21" s="3">
        <f t="shared" si="1"/>
        <v>0</v>
      </c>
      <c r="I21" s="3">
        <f>SUMIFS(Table1[Total Estimate],Table1[FUND],Rollup!A21)</f>
        <v>0</v>
      </c>
      <c r="J21" s="3">
        <f>SUMIFS(Table13[Total Estimate],Table13[FUND],Rollup!A21)</f>
        <v>0</v>
      </c>
      <c r="K21" s="19">
        <f t="shared" si="2"/>
        <v>0</v>
      </c>
    </row>
    <row r="22" spans="1:11" x14ac:dyDescent="0.25">
      <c r="A22" s="7">
        <v>31600</v>
      </c>
      <c r="B22" s="2" t="s">
        <v>32</v>
      </c>
      <c r="C22" s="3">
        <f>SUMIFS(Table1[Total Actuals],Table1[FUND],Rollup!A22)</f>
        <v>0</v>
      </c>
      <c r="D22" s="3">
        <f>SUMIFS(Table13[Total Actuals],Table13[FUND],Rollup!A22)</f>
        <v>0</v>
      </c>
      <c r="E22" s="3">
        <f t="shared" si="0"/>
        <v>0</v>
      </c>
      <c r="F22" s="3">
        <f>SUMIFS(Table1[FY26],Table1[FUND],Rollup!A22)</f>
        <v>0</v>
      </c>
      <c r="G22" s="3">
        <f>SUMIFS(Table13[FY26],Table13[FUND],Rollup!A22)</f>
        <v>0</v>
      </c>
      <c r="H22" s="3">
        <f t="shared" si="1"/>
        <v>0</v>
      </c>
      <c r="I22" s="3">
        <f>SUMIFS(Table1[Total Estimate],Table1[FUND],Rollup!A22)</f>
        <v>0</v>
      </c>
      <c r="J22" s="3">
        <f>SUMIFS(Table13[Total Estimate],Table13[FUND],Rollup!A22)</f>
        <v>0</v>
      </c>
      <c r="K22" s="19">
        <f t="shared" si="2"/>
        <v>0</v>
      </c>
    </row>
    <row r="23" spans="1:11" ht="14.45" x14ac:dyDescent="0.35">
      <c r="A23" s="7">
        <v>31700</v>
      </c>
      <c r="B23" s="2" t="s">
        <v>33</v>
      </c>
      <c r="C23" s="3">
        <f>SUMIFS(Table1[Total Actuals],Table1[FUND],Rollup!A23)</f>
        <v>0</v>
      </c>
      <c r="D23" s="3">
        <f>SUMIFS(Table13[Total Actuals],Table13[FUND],Rollup!A23)</f>
        <v>0</v>
      </c>
      <c r="E23" s="3">
        <f t="shared" si="0"/>
        <v>0</v>
      </c>
      <c r="F23" s="3">
        <f>SUMIFS(Table1[FY26],Table1[FUND],Rollup!A23)</f>
        <v>0</v>
      </c>
      <c r="G23" s="3">
        <f>SUMIFS(Table13[FY26],Table13[FUND],Rollup!A23)</f>
        <v>0</v>
      </c>
      <c r="H23" s="3">
        <f t="shared" si="1"/>
        <v>0</v>
      </c>
      <c r="I23" s="3">
        <f>SUMIFS(Table1[Total Estimate],Table1[FUND],Rollup!A23)</f>
        <v>0</v>
      </c>
      <c r="J23" s="3">
        <f>SUMIFS(Table13[Total Estimate],Table13[FUND],Rollup!A23)</f>
        <v>0</v>
      </c>
      <c r="K23" s="19">
        <f t="shared" si="2"/>
        <v>0</v>
      </c>
    </row>
    <row r="24" spans="1:11" x14ac:dyDescent="0.25">
      <c r="A24" s="7">
        <v>31701</v>
      </c>
      <c r="B24" s="2" t="s">
        <v>34</v>
      </c>
      <c r="C24" s="3">
        <f>SUMIFS(Table1[Total Actuals],Table1[FUND],Rollup!A24)</f>
        <v>0</v>
      </c>
      <c r="D24" s="3">
        <f>SUMIFS(Table13[Total Actuals],Table13[FUND],Rollup!A24)</f>
        <v>0</v>
      </c>
      <c r="E24" s="3">
        <f t="shared" si="0"/>
        <v>0</v>
      </c>
      <c r="F24" s="3">
        <f>SUMIFS(Table1[FY26],Table1[FUND],Rollup!A24)</f>
        <v>0</v>
      </c>
      <c r="G24" s="3">
        <f>SUMIFS(Table13[FY26],Table13[FUND],Rollup!A24)</f>
        <v>0</v>
      </c>
      <c r="H24" s="3">
        <f t="shared" si="1"/>
        <v>0</v>
      </c>
      <c r="I24" s="3">
        <f>SUMIFS(Table1[Total Estimate],Table1[FUND],Rollup!A24)</f>
        <v>0</v>
      </c>
      <c r="J24" s="3">
        <f>SUMIFS(Table13[Total Estimate],Table13[FUND],Rollup!A24)</f>
        <v>0</v>
      </c>
      <c r="K24" s="19">
        <f t="shared" si="2"/>
        <v>0</v>
      </c>
    </row>
    <row r="25" spans="1:11" ht="14.45" x14ac:dyDescent="0.35">
      <c r="A25" s="7">
        <v>31703</v>
      </c>
      <c r="B25" s="2" t="s">
        <v>35</v>
      </c>
      <c r="C25" s="3">
        <f>SUMIFS(Table1[Total Actuals],Table1[FUND],Rollup!A25)</f>
        <v>0</v>
      </c>
      <c r="D25" s="3">
        <f>SUMIFS(Table13[Total Actuals],Table13[FUND],Rollup!A25)</f>
        <v>0</v>
      </c>
      <c r="E25" s="3">
        <f t="shared" si="0"/>
        <v>0</v>
      </c>
      <c r="F25" s="3">
        <f>SUMIFS(Table1[FY26],Table1[FUND],Rollup!A25)</f>
        <v>0</v>
      </c>
      <c r="G25" s="3">
        <f>SUMIFS(Table13[FY26],Table13[FUND],Rollup!A25)</f>
        <v>0</v>
      </c>
      <c r="H25" s="3">
        <f t="shared" si="1"/>
        <v>0</v>
      </c>
      <c r="I25" s="3">
        <f>SUMIFS(Table1[Total Estimate],Table1[FUND],Rollup!A25)</f>
        <v>0</v>
      </c>
      <c r="J25" s="3">
        <f>SUMIFS(Table13[Total Estimate],Table13[FUND],Rollup!A25)</f>
        <v>0</v>
      </c>
      <c r="K25" s="19">
        <f t="shared" si="2"/>
        <v>0</v>
      </c>
    </row>
    <row r="26" spans="1:11" ht="14.45" x14ac:dyDescent="0.35">
      <c r="A26" s="7">
        <v>31800</v>
      </c>
      <c r="B26" s="2" t="s">
        <v>36</v>
      </c>
      <c r="C26" s="3">
        <f>SUMIFS(Table1[Total Actuals],Table1[FUND],Rollup!A26)</f>
        <v>0</v>
      </c>
      <c r="D26" s="3">
        <f>SUMIFS(Table13[Total Actuals],Table13[FUND],Rollup!A26)</f>
        <v>0</v>
      </c>
      <c r="E26" s="3">
        <f t="shared" si="0"/>
        <v>0</v>
      </c>
      <c r="F26" s="3">
        <f>SUMIFS(Table1[FY26],Table1[FUND],Rollup!A26)</f>
        <v>0</v>
      </c>
      <c r="G26" s="3">
        <f>SUMIFS(Table13[FY26],Table13[FUND],Rollup!A26)</f>
        <v>0</v>
      </c>
      <c r="H26" s="3">
        <f t="shared" si="1"/>
        <v>0</v>
      </c>
      <c r="I26" s="3">
        <f>SUMIFS(Table1[Total Estimate],Table1[FUND],Rollup!A26)</f>
        <v>0</v>
      </c>
      <c r="J26" s="3">
        <f>SUMIFS(Table13[Total Estimate],Table13[FUND],Rollup!A26)</f>
        <v>0</v>
      </c>
      <c r="K26" s="19">
        <f t="shared" si="2"/>
        <v>0</v>
      </c>
    </row>
    <row r="27" spans="1:11" ht="14.45" x14ac:dyDescent="0.35">
      <c r="A27" s="7">
        <v>31900</v>
      </c>
      <c r="B27" s="2" t="s">
        <v>37</v>
      </c>
      <c r="C27" s="3">
        <f>SUMIFS(Table1[Total Actuals],Table1[FUND],Rollup!A27)</f>
        <v>0</v>
      </c>
      <c r="D27" s="3">
        <f>SUMIFS(Table13[Total Actuals],Table13[FUND],Rollup!A27)</f>
        <v>0</v>
      </c>
      <c r="E27" s="3">
        <f t="shared" si="0"/>
        <v>0</v>
      </c>
      <c r="F27" s="3">
        <f>SUMIFS(Table1[FY26],Table1[FUND],Rollup!A27)</f>
        <v>0</v>
      </c>
      <c r="G27" s="3">
        <f>SUMIFS(Table13[FY26],Table13[FUND],Rollup!A27)</f>
        <v>0</v>
      </c>
      <c r="H27" s="3">
        <f t="shared" si="1"/>
        <v>0</v>
      </c>
      <c r="I27" s="3">
        <f>SUMIFS(Table1[Total Estimate],Table1[FUND],Rollup!A27)</f>
        <v>0</v>
      </c>
      <c r="J27" s="3">
        <f>SUMIFS(Table13[Total Estimate],Table13[FUND],Rollup!A27)</f>
        <v>0</v>
      </c>
      <c r="K27" s="19">
        <f t="shared" si="2"/>
        <v>0</v>
      </c>
    </row>
    <row r="28" spans="1:11" ht="14.45" x14ac:dyDescent="0.35">
      <c r="A28" s="7">
        <v>32100</v>
      </c>
      <c r="B28" s="2" t="s">
        <v>38</v>
      </c>
      <c r="C28" s="3">
        <f>SUMIFS(Table1[Total Actuals],Table1[FUND],Rollup!A28)</f>
        <v>0</v>
      </c>
      <c r="D28" s="3">
        <f>SUMIFS(Table13[Total Actuals],Table13[FUND],Rollup!A28)</f>
        <v>0</v>
      </c>
      <c r="E28" s="3">
        <f t="shared" si="0"/>
        <v>0</v>
      </c>
      <c r="F28" s="3">
        <f>SUMIFS(Table1[FY26],Table1[FUND],Rollup!A28)</f>
        <v>0</v>
      </c>
      <c r="G28" s="3">
        <f>SUMIFS(Table13[FY26],Table13[FUND],Rollup!A28)</f>
        <v>0</v>
      </c>
      <c r="H28" s="3">
        <f t="shared" si="1"/>
        <v>0</v>
      </c>
      <c r="I28" s="3">
        <f>SUMIFS(Table1[Total Estimate],Table1[FUND],Rollup!A28)</f>
        <v>0</v>
      </c>
      <c r="J28" s="3">
        <f>SUMIFS(Table13[Total Estimate],Table13[FUND],Rollup!A28)</f>
        <v>0</v>
      </c>
      <c r="K28" s="19">
        <f t="shared" si="2"/>
        <v>0</v>
      </c>
    </row>
    <row r="29" spans="1:11" ht="14.45" x14ac:dyDescent="0.35">
      <c r="A29" s="7">
        <v>41000</v>
      </c>
      <c r="B29" s="2" t="s">
        <v>39</v>
      </c>
      <c r="C29" s="3">
        <f>SUMIFS(Table1[Total Actuals],Table1[FUND],Rollup!A29)</f>
        <v>0</v>
      </c>
      <c r="D29" s="3">
        <f>SUMIFS(Table13[Total Actuals],Table13[FUND],Rollup!A29)</f>
        <v>0</v>
      </c>
      <c r="E29" s="3">
        <f t="shared" si="0"/>
        <v>0</v>
      </c>
      <c r="F29" s="3">
        <f>SUMIFS(Table1[FY26],Table1[FUND],Rollup!A29)</f>
        <v>0</v>
      </c>
      <c r="G29" s="3">
        <f>SUMIFS(Table13[FY26],Table13[FUND],Rollup!A29)</f>
        <v>0</v>
      </c>
      <c r="H29" s="3">
        <f t="shared" si="1"/>
        <v>0</v>
      </c>
      <c r="I29" s="3">
        <f>SUMIFS(Table1[Total Estimate],Table1[FUND],Rollup!A29)</f>
        <v>0</v>
      </c>
      <c r="J29" s="3">
        <f>SUMIFS(Table13[Total Estimate],Table13[FUND],Rollup!A29)</f>
        <v>0</v>
      </c>
      <c r="K29" s="19">
        <f t="shared" si="2"/>
        <v>0</v>
      </c>
    </row>
    <row r="30" spans="1:11" ht="14.45" x14ac:dyDescent="0.35">
      <c r="A30" s="7">
        <v>41200</v>
      </c>
      <c r="B30" s="2" t="s">
        <v>40</v>
      </c>
      <c r="C30" s="3">
        <f>SUMIFS(Table1[Total Actuals],Table1[FUND],Rollup!A30)</f>
        <v>0</v>
      </c>
      <c r="D30" s="3">
        <f>SUMIFS(Table13[Total Actuals],Table13[FUND],Rollup!A30)</f>
        <v>0</v>
      </c>
      <c r="E30" s="3">
        <f t="shared" si="0"/>
        <v>0</v>
      </c>
      <c r="F30" s="3">
        <f>SUMIFS(Table1[FY26],Table1[FUND],Rollup!A30)</f>
        <v>0</v>
      </c>
      <c r="G30" s="3">
        <f>SUMIFS(Table13[FY26],Table13[FUND],Rollup!A30)</f>
        <v>0</v>
      </c>
      <c r="H30" s="3">
        <f t="shared" si="1"/>
        <v>0</v>
      </c>
      <c r="I30" s="3">
        <f>SUMIFS(Table1[Total Estimate],Table1[FUND],Rollup!A30)</f>
        <v>0</v>
      </c>
      <c r="J30" s="3">
        <f>SUMIFS(Table13[Total Estimate],Table13[FUND],Rollup!A30)</f>
        <v>0</v>
      </c>
      <c r="K30" s="19">
        <f t="shared" si="2"/>
        <v>0</v>
      </c>
    </row>
    <row r="31" spans="1:11" ht="14.45" x14ac:dyDescent="0.35">
      <c r="A31" s="7">
        <v>41800</v>
      </c>
      <c r="B31" s="2" t="s">
        <v>41</v>
      </c>
      <c r="C31" s="3">
        <f>SUMIFS(Table1[Total Actuals],Table1[FUND],Rollup!A31)</f>
        <v>0</v>
      </c>
      <c r="D31" s="3">
        <f>SUMIFS(Table13[Total Actuals],Table13[FUND],Rollup!A31)</f>
        <v>0</v>
      </c>
      <c r="E31" s="3">
        <f t="shared" si="0"/>
        <v>0</v>
      </c>
      <c r="F31" s="3">
        <f>SUMIFS(Table1[FY26],Table1[FUND],Rollup!A31)</f>
        <v>0</v>
      </c>
      <c r="G31" s="3">
        <f>SUMIFS(Table13[FY26],Table13[FUND],Rollup!A31)</f>
        <v>0</v>
      </c>
      <c r="H31" s="3">
        <f t="shared" si="1"/>
        <v>0</v>
      </c>
      <c r="I31" s="3">
        <f>SUMIFS(Table1[Total Estimate],Table1[FUND],Rollup!A31)</f>
        <v>0</v>
      </c>
      <c r="J31" s="3">
        <f>SUMIFS(Table13[Total Estimate],Table13[FUND],Rollup!A31)</f>
        <v>0</v>
      </c>
      <c r="K31" s="19">
        <f t="shared" si="2"/>
        <v>0</v>
      </c>
    </row>
    <row r="32" spans="1:11" ht="14.45" x14ac:dyDescent="0.35">
      <c r="A32" s="7">
        <v>42000</v>
      </c>
      <c r="B32" s="2" t="s">
        <v>42</v>
      </c>
      <c r="C32" s="3">
        <f>SUMIFS(Table1[Total Actuals],Table1[FUND],Rollup!A32)</f>
        <v>0</v>
      </c>
      <c r="D32" s="3">
        <f>SUMIFS(Table13[Total Actuals],Table13[FUND],Rollup!A32)</f>
        <v>0</v>
      </c>
      <c r="E32" s="3">
        <f t="shared" si="0"/>
        <v>0</v>
      </c>
      <c r="F32" s="3">
        <f>SUMIFS(Table1[FY26],Table1[FUND],Rollup!A32)</f>
        <v>0</v>
      </c>
      <c r="G32" s="3">
        <f>SUMIFS(Table13[FY26],Table13[FUND],Rollup!A32)</f>
        <v>0</v>
      </c>
      <c r="H32" s="3">
        <f t="shared" si="1"/>
        <v>0</v>
      </c>
      <c r="I32" s="3">
        <f>SUMIFS(Table1[Total Estimate],Table1[FUND],Rollup!A32)</f>
        <v>0</v>
      </c>
      <c r="J32" s="3">
        <f>SUMIFS(Table13[Total Estimate],Table13[FUND],Rollup!A32)</f>
        <v>0</v>
      </c>
      <c r="K32" s="19">
        <f t="shared" si="2"/>
        <v>0</v>
      </c>
    </row>
    <row r="33" spans="1:11" ht="14.45" x14ac:dyDescent="0.35">
      <c r="A33" s="7">
        <v>43000</v>
      </c>
      <c r="B33" s="2" t="s">
        <v>43</v>
      </c>
      <c r="C33" s="3">
        <f>SUMIFS(Table1[Total Actuals],Table1[FUND],Rollup!A33)</f>
        <v>0</v>
      </c>
      <c r="D33" s="3">
        <f>SUMIFS(Table13[Total Actuals],Table13[FUND],Rollup!A33)</f>
        <v>0</v>
      </c>
      <c r="E33" s="3">
        <f t="shared" si="0"/>
        <v>0</v>
      </c>
      <c r="F33" s="3">
        <f>SUMIFS(Table1[FY26],Table1[FUND],Rollup!A33)</f>
        <v>0</v>
      </c>
      <c r="G33" s="3">
        <f>SUMIFS(Table13[FY26],Table13[FUND],Rollup!A33)</f>
        <v>0</v>
      </c>
      <c r="H33" s="3">
        <f t="shared" si="1"/>
        <v>0</v>
      </c>
      <c r="I33" s="3">
        <f>SUMIFS(Table1[Total Estimate],Table1[FUND],Rollup!A33)</f>
        <v>0</v>
      </c>
      <c r="J33" s="3">
        <f>SUMIFS(Table13[Total Estimate],Table13[FUND],Rollup!A33)</f>
        <v>0</v>
      </c>
      <c r="K33" s="19">
        <f t="shared" si="2"/>
        <v>0</v>
      </c>
    </row>
    <row r="34" spans="1:11" ht="14.45" x14ac:dyDescent="0.35">
      <c r="A34" s="12">
        <v>60000</v>
      </c>
      <c r="B34" s="4" t="s">
        <v>44</v>
      </c>
      <c r="C34" s="5">
        <f>SUMIFS(Table1[Total Actuals],Table1[FUND],Rollup!A34)</f>
        <v>0</v>
      </c>
      <c r="D34" s="5">
        <f>SUMIFS(Table13[Total Actuals],Table13[FUND],Rollup!A34)</f>
        <v>0</v>
      </c>
      <c r="E34" s="5">
        <f t="shared" si="0"/>
        <v>0</v>
      </c>
      <c r="F34" s="5">
        <f>SUMIFS(Table1[FY26],Table1[FUND],Rollup!A34)</f>
        <v>0</v>
      </c>
      <c r="G34" s="5">
        <f>SUMIFS(Table13[FY26],Table13[FUND],Rollup!A34)</f>
        <v>0</v>
      </c>
      <c r="H34" s="5">
        <f t="shared" si="1"/>
        <v>0</v>
      </c>
      <c r="I34" s="5">
        <f>SUMIFS(Table1[Total Estimate],Table1[FUND],Rollup!A34)</f>
        <v>0</v>
      </c>
      <c r="J34" s="5">
        <f>SUMIFS(Table13[Total Estimate],Table13[FUND],Rollup!A34)</f>
        <v>0</v>
      </c>
      <c r="K34" s="20">
        <f t="shared" si="2"/>
        <v>0</v>
      </c>
    </row>
    <row r="35" spans="1:11" ht="14.45" x14ac:dyDescent="0.35">
      <c r="C35" s="1"/>
      <c r="D35" s="1"/>
      <c r="E35" s="1"/>
      <c r="F35" s="1"/>
      <c r="G35" s="1"/>
      <c r="H35" s="1"/>
      <c r="I35" s="1"/>
      <c r="J35" s="1"/>
      <c r="K35" s="1"/>
    </row>
    <row r="36" spans="1:11" ht="14.45" x14ac:dyDescent="0.35">
      <c r="C36" s="1">
        <f>SUM(Table3[Historical - Actuals
Sources Detail])</f>
        <v>0</v>
      </c>
      <c r="D36" s="1">
        <f>SUM(Table3[Historical - Actuals
Uses Detail])</f>
        <v>0</v>
      </c>
      <c r="E36" s="1">
        <f>SUM(Table3[Historical - Actuals
Remaining])</f>
        <v>0</v>
      </c>
      <c r="F36" s="1">
        <f>SUM(Table3[Current
Sources Detail])</f>
        <v>0</v>
      </c>
      <c r="G36" s="1">
        <f>SUM(Table3[Current
Uses Detail])</f>
        <v>0</v>
      </c>
      <c r="H36" s="1">
        <f>SUM(Table3[Current
Remaining])</f>
        <v>0</v>
      </c>
      <c r="I36" s="1">
        <f>SUM(Table3[Projected 
Sources Detail])</f>
        <v>0</v>
      </c>
      <c r="J36" s="1">
        <f>SUM(Table3[Projected
Uses Detail])</f>
        <v>0</v>
      </c>
      <c r="K36" s="1">
        <f>SUM(Table3[Projected
Remaining])</f>
        <v>0</v>
      </c>
    </row>
  </sheetData>
  <sheetProtection algorithmName="SHA-512" hashValue="ba3tLj+vh/+VJGhaEYnWpheY+a6BBtRVkiDg7I35+7r2XQzP0tH3DOhjS13aYy+1idD6lBxioyHt1L2VZk4IoQ==" saltValue="Pix4gcQcjYLWfiqzI9FL8Q==" spinCount="100000" sheet="1" objects="1" scenarios="1"/>
  <conditionalFormatting sqref="C2:K36">
    <cfRule type="cellIs" dxfId="0" priority="1" operator="lessThan">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 C o l u m n s \ F U N D < / K e y > < / a : K e y > < a : V a l u e   i : t y p e = " T a b l e W i d g e t B a s e V i e w S t a t e " / > < / a : K e y V a l u e O f D i a g r a m O b j e c t K e y a n y T y p e z b w N T n L X > < a : K e y V a l u e O f D i a g r a m O b j e c t K e y a n y T y p e z b w N T n L X > < a : K e y > < K e y > C o l u m n s \ F u n d   D e s c r i p t i o n < / K e y > < / a : K e y > < a : V a l u e   i : t y p e = " T a b l e W i d g e t B a s e V i e w S t a t e " / > < / a : K e y V a l u e O f D i a g r a m O b j e c t K e y a n y T y p e z b w N T n L X > < a : K e y V a l u e O f D i a g r a m O b j e c t K e y a n y T y p e z b w N T n L X > < a : K e y > < K e y > C o l u m n s \ F u n d   & a m p ;   N a m e < / K e y > < / a : K e y > < a : V a l u e   i : t y p e = " T a b l e W i d g e t B a s e V i e w S t a t e " / > < / a : K e y V a l u e O f D i a g r a m O b j e c t K e y a n y T y p e z b w N T n L X > < a : K e y V a l u e O f D i a g r a m O b j e c t K e y a n y T y p e z b w N T n L X > < a : K e y > < K e y > C o l u m n s \ F Y 2 3 < / K e y > < / a : K e y > < a : V a l u e   i : t y p e = " T a b l e W i d g e t B a s e V i e w S t a t e " / > < / a : K e y V a l u e O f D i a g r a m O b j e c t K e y a n y T y p e z b w N T n L X > < a : K e y V a l u e O f D i a g r a m O b j e c t K e y a n y T y p e z b w N T n L X > < a : K e y > < K e y > C o l u m n s \ F Y 2 4 < / K e y > < / a : K e y > < a : V a l u e   i : t y p e = " T a b l e W i d g e t B a s e V i e w S t a t e " / > < / a : K e y V a l u e O f D i a g r a m O b j e c t K e y a n y T y p e z b w N T n L X > < a : K e y V a l u e O f D i a g r a m O b j e c t K e y a n y T y p e z b w N T n L X > < a : K e y > < K e y > C o l u m n s \ F Y 2 5 < / K e y > < / a : K e y > < a : V a l u e   i : t y p e = " T a b l e W i d g e t B a s e V i e w S t a t e " / > < / a : K e y V a l u e O f D i a g r a m O b j e c t K e y a n y T y p e z b w N T n L X > < a : K e y V a l u e O f D i a g r a m O b j e c t K e y a n y T y p e z b w N T n L X > < a : K e y > < K e y > C o l u m n s \ F Y 2 6 < / K e y > < / a : K e y > < a : V a l u e   i : t y p e = " T a b l e W i d g e t B a s e V i e w S t a t e " / > < / a : K e y V a l u e O f D i a g r a m O b j e c t K e y a n y T y p e z b w N T n L X > < a : K e y V a l u e O f D i a g r a m O b j e c t K e y a n y T y p e z b w N T n L X > < a : K e y > < K e y > C o l u m n s \ F Y 2 7 < / K e y > < / a : K e y > < a : V a l u e   i : t y p e = " T a b l e W i d g e t B a s e V i e w S t a t e " / > < / a : K e y V a l u e O f D i a g r a m O b j e c t K e y a n y T y p e z b w N T n L X > < a : K e y V a l u e O f D i a g r a m O b j e c t K e y a n y T y p e z b w N T n L X > < a : K e y > < K e y > C o l u m n s \ F Y 2 8 < / K e y > < / a : K e y > < a : V a l u e   i : t y p e = " T a b l e W i d g e t B a s e V i e w S t a t e " / > < / a : K e y V a l u e O f D i a g r a m O b j e c t K e y a n y T y p e z b w N T n L X > < a : K e y V a l u e O f D i a g r a m O b j e c t K e y a n y T y p e z b w N T n L X > < a : K e y > < K e y > C o l u m n s \ T O T A L   S O U R C E S < / K e y > < / a : K e y > < a : V a l u e   i : t y p e = " T a b l e W i d g e t B a s e V i e w S t a t e " / > < / a : K e y V a l u e O f D i a g r a m O b j e c t K e y a n y T y p e z b w N T n L X > < a : K e y V a l u e O f D i a g r a m O b j e c t K e y a n y T y p e z b w N T n L X > < a : K e y > < K e y > C o l u m n s \ C O M M E N T S 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EBEB46B7-9CE2-477A-B87C-76A43D1E65A1}">
  <ds:schemaRefs/>
</ds:datastoreItem>
</file>

<file path=customXml/itemProps2.xml><?xml version="1.0" encoding="utf-8"?>
<ds:datastoreItem xmlns:ds="http://schemas.openxmlformats.org/officeDocument/2006/customXml" ds:itemID="{2E49438B-0E9C-4CD5-B29D-6E8B8E8744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Drop Downs</vt:lpstr>
      <vt:lpstr>Local Match Reductions</vt:lpstr>
      <vt:lpstr>NMSA Waiver Criteria</vt:lpstr>
      <vt:lpstr>1. DistrictInfo</vt:lpstr>
      <vt:lpstr>2. SourcesDetail</vt:lpstr>
      <vt:lpstr>3. UsesDetail</vt:lpstr>
      <vt:lpstr>4. Bonding</vt:lpstr>
      <vt:lpstr>5. Summary</vt:lpstr>
      <vt:lpstr>Rollup</vt:lpstr>
      <vt:lpstr>'1. DistrictInfo'!Print_Area</vt:lpstr>
      <vt:lpstr>'2. SourcesDetail'!Print_Area</vt:lpstr>
      <vt:lpstr>'3. UsesDetail'!Print_Area</vt:lpstr>
      <vt:lpstr>'4. Bonding'!Print_Area</vt:lpstr>
      <vt:lpstr>'5. Summary'!Print_Area</vt:lpstr>
    </vt:vector>
  </TitlesOfParts>
  <Company>NMPSFA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PSFAadmin</dc:creator>
  <cp:lastModifiedBy>Matthew Schimmel</cp:lastModifiedBy>
  <cp:lastPrinted>2024-08-16T19:43:21Z</cp:lastPrinted>
  <dcterms:created xsi:type="dcterms:W3CDTF">2024-04-04T15:50:43Z</dcterms:created>
  <dcterms:modified xsi:type="dcterms:W3CDTF">2025-09-05T16:41:10Z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49af3a-66e2-4bb4-931d-438d985cafd9_Enabled">
    <vt:lpwstr>true</vt:lpwstr>
  </property>
  <property fmtid="{D5CDD505-2E9C-101B-9397-08002B2CF9AE}" pid="3" name="MSIP_Label_6449af3a-66e2-4bb4-931d-438d985cafd9_Method">
    <vt:lpwstr>Privileged</vt:lpwstr>
  </property>
  <property fmtid="{D5CDD505-2E9C-101B-9397-08002B2CF9AE}" pid="4" name="MSIP_Label_6449af3a-66e2-4bb4-931d-438d985cafd9_SiteId">
    <vt:lpwstr>9323b596-236d-4890-bed3-60232a849027</vt:lpwstr>
  </property>
  <property fmtid="{D5CDD505-2E9C-101B-9397-08002B2CF9AE}" pid="5" name="Classification">
    <vt:lpwstr>TT_Confidential</vt:lpwstr>
  </property>
</Properties>
</file>